
<file path=[Content_Types].xml><?xml version="1.0" encoding="utf-8"?>
<Types xmlns="http://schemas.openxmlformats.org/package/2006/content-types">
  <Default Extension="png" ContentType="image/png"/>
  <Default Extension="jpeg" ContentType="image/jpeg"/>
  <Default Extension="JPG" ContentType="image/.jpg"/>
  <Default Extension="rels" ContentType="application/vnd.openxmlformats-package.relationships+xml"/>
  <Default Extension="xml" ContentType="application/xml"/>
  <Default Extension="bin" ContentType="application/vnd.ms-office.vbaProject"/>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ellimages.xml" ContentType="application/vnd.wps-officedocument.cellimage+xml"/>
  <Override PartName="/xl/metadata.xml" ContentType="application/vnd.openxmlformats-officedocument.spreadsheetml.sheetMetadata+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Relationships xmlns="http://schemas.openxmlformats.org/package/2006/relationships"><Relationship Id="rId1" Target="xl/workbook.xml" Type="http://schemas.openxmlformats.org/officeDocument/2006/relationships/officeDocument"></Relationship><Relationship Id="rId3" Target="docProps/core.xml" Type="http://schemas.openxmlformats.org/package/2006/relationships/metadata/core-properties"></Relationship><Relationship Id="rId2" Target="docProps/app.xml" Type="http://schemas.openxmlformats.org/officeDocument/2006/relationships/extended-properties"></Relationship><Relationship Id="rId4" Target="docProps/custom.xml" Type="http://schemas.openxmlformats.org/officeDocument/2006/relationships/custom-properties"></Relationship></Relationships>
</file>

<file path=xl/workbook.xml><?xml version="1.0" encoding="utf-8"?>
<workbook xmlns="http://schemas.openxmlformats.org/spreadsheetml/2006/main" xmlns:r="http://schemas.openxmlformats.org/officeDocument/2006/relationships" xmlns:dbsheet="http://web.wps.cn/et/2021/dbsheet">
  <fileVersion appName="xl" lastEdited="3" lowestEdited="5" rupBuild="9302"/>
  <workbookPr/>
  <bookViews>
    <workbookView firstSheet="17" activeTab="17"/>
  </bookViews>
  <sheets>
    <sheet name="NJ-BS-LL-SS25" sheetId="2" r:id="rId1"/>
    <sheet name="NJ-BS-NS-SS25" sheetId="3" r:id="rId2"/>
    <sheet name="NJ-BS-SL-SS25" sheetId="4" r:id="rId3"/>
    <sheet name="NJ-BS-SS-SS25" sheetId="5" r:id="rId4"/>
    <sheet name="NJ-BS-SL-AW25" sheetId="6" r:id="rId5"/>
    <sheet name="NJ-LG-SL-AW25" sheetId="7" r:id="rId6"/>
    <sheet name="NJ-BR-SY-AW25" sheetId="8" r:id="rId7"/>
    <sheet name="NJ-LG-RG-SS25" sheetId="9" r:id="rId8"/>
    <sheet name="NJ-LG-WP-SS25" sheetId="10" r:id="rId9"/>
    <sheet name="NJ-LG-SH-SS25" sheetId="11" r:id="rId10"/>
    <sheet name="NJ-TS-CL-SS25" sheetId="12" r:id="rId11"/>
    <sheet name="NJ-TS-CS-SS25" sheetId="13" r:id="rId12"/>
    <sheet name="NJ-TS-SL-SS25" sheetId="14" r:id="rId13"/>
    <sheet name="NJ-TS-TT-SS25" sheetId="15" r:id="rId14"/>
    <sheet name="NJ-SL-JS-SS25" sheetId="16" r:id="rId15"/>
    <sheet name="NJ-SL-ZJ-SS25" sheetId="17" r:id="rId16"/>
    <sheet name="NJ-DS-LS-SS25" sheetId="18" r:id="rId17"/>
    <sheet name="NJ-RM-RG-SS25" sheetId="19" r:id="rId18"/>
  </sheets>
  <calcPr calcId="191029" calcMode="auto"/>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ellimages.xml><?xml version="1.0" encoding="utf-8"?>
<etc:cellImages xmlns:xdr="http://schemas.openxmlformats.org/drawingml/2006/spreadsheetDrawing" xmlns:r="http://schemas.openxmlformats.org/officeDocument/2006/relationships" xmlns:a="http://schemas.openxmlformats.org/drawingml/2006/main" xmlns:etc="http://www.wps.cn/officeDocument/2017/etCustomData">
  <etc:cellImage>
    <xdr:pic>
      <xdr:nvPicPr>
        <xdr:cNvPr id="19" name="ID_2BB2FE636CBF42D3B88A0F85ABEF8819" descr="LLSS-ER 01"/>
        <xdr:cNvPicPr/>
      </xdr:nvPicPr>
      <xdr:blipFill>
        <a:blip r:embed="rId1"/>
        <a:stretch>
          <a:fillRect/>
        </a:stretch>
      </xdr:blipFill>
      <xdr:spPr>
        <a:xfrm>
          <a:off x="0" y="0"/>
          <a:ext cx="1485900" cy="1504950"/>
        </a:xfrm>
        <a:prstGeom prst="rect">
          <a:avLst/>
        </a:prstGeom>
      </xdr:spPr>
    </xdr:pic>
  </etc:cellImage>
  <etc:cellImage>
    <xdr:pic>
      <xdr:nvPicPr>
        <xdr:cNvPr id="18" name="ID_60479002954E4053A498D0256B7AFC48" descr="LLSS-B 01"/>
        <xdr:cNvPicPr/>
      </xdr:nvPicPr>
      <xdr:blipFill>
        <a:blip r:embed="rId2"/>
        <a:stretch>
          <a:fillRect/>
        </a:stretch>
      </xdr:blipFill>
      <xdr:spPr>
        <a:xfrm>
          <a:off x="0" y="0"/>
          <a:ext cx="1421130" cy="1470025"/>
        </a:xfrm>
        <a:prstGeom prst="rect">
          <a:avLst/>
        </a:prstGeom>
      </xdr:spPr>
    </xdr:pic>
  </etc:cellImage>
  <etc:cellImage>
    <xdr:pic>
      <xdr:nvPicPr>
        <xdr:cNvPr id="3" name="ID_795D10C56AD946AA943C4008215A4679" descr="LLSS-AB"/>
        <xdr:cNvPicPr/>
      </xdr:nvPicPr>
      <xdr:blipFill>
        <a:blip r:embed="rId3"/>
        <a:stretch>
          <a:fillRect/>
        </a:stretch>
      </xdr:blipFill>
      <xdr:spPr>
        <a:xfrm>
          <a:off x="0" y="0"/>
          <a:ext cx="5715000" cy="7620000"/>
        </a:xfrm>
        <a:prstGeom prst="rect">
          <a:avLst/>
        </a:prstGeom>
      </xdr:spPr>
    </xdr:pic>
  </etc:cellImage>
  <etc:cellImage>
    <xdr:pic>
      <xdr:nvPicPr>
        <xdr:cNvPr id="13" name="ID_CA12FC8BFB6546C58CBAE41B76C9ECB2" descr="LLSS-HC"/>
        <xdr:cNvPicPr/>
      </xdr:nvPicPr>
      <xdr:blipFill>
        <a:blip r:embed="rId4"/>
        <a:stretch>
          <a:fillRect/>
        </a:stretch>
      </xdr:blipFill>
      <xdr:spPr>
        <a:xfrm>
          <a:off x="0" y="0"/>
          <a:ext cx="5715000" cy="7620000"/>
        </a:xfrm>
        <a:prstGeom prst="rect">
          <a:avLst/>
        </a:prstGeom>
      </xdr:spPr>
    </xdr:pic>
  </etc:cellImage>
  <etc:cellImage>
    <xdr:pic>
      <xdr:nvPicPr>
        <xdr:cNvPr id="5" name="ID_BB696B0855274CA7ABE52DD47A442A37" descr="LLSS-ER"/>
        <xdr:cNvPicPr/>
      </xdr:nvPicPr>
      <xdr:blipFill>
        <a:blip r:embed="rId5"/>
        <a:stretch>
          <a:fillRect/>
        </a:stretch>
      </xdr:blipFill>
      <xdr:spPr>
        <a:xfrm>
          <a:off x="0" y="0"/>
          <a:ext cx="5715000" cy="7620000"/>
        </a:xfrm>
        <a:prstGeom prst="rect">
          <a:avLst/>
        </a:prstGeom>
      </xdr:spPr>
    </xdr:pic>
  </etc:cellImage>
  <etc:cellImage>
    <xdr:pic>
      <xdr:nvPicPr>
        <xdr:cNvPr id="17" name="ID_4EDEED8F8AF7463DAF9EEA863F4E2EAF" descr="LLSS-AB 01"/>
        <xdr:cNvPicPr/>
      </xdr:nvPicPr>
      <xdr:blipFill>
        <a:blip r:embed="rId6"/>
        <a:stretch>
          <a:fillRect/>
        </a:stretch>
      </xdr:blipFill>
      <xdr:spPr>
        <a:xfrm>
          <a:off x="0" y="0"/>
          <a:ext cx="1619250" cy="1638300"/>
        </a:xfrm>
        <a:prstGeom prst="rect">
          <a:avLst/>
        </a:prstGeom>
      </xdr:spPr>
    </xdr:pic>
  </etc:cellImage>
  <etc:cellImage>
    <xdr:pic>
      <xdr:nvPicPr>
        <xdr:cNvPr id="20" name="ID_5E325D724DBA43B6B719D96D3B9872F3" descr="LLSS-HC 01"/>
        <xdr:cNvPicPr/>
      </xdr:nvPicPr>
      <xdr:blipFill>
        <a:blip r:embed="rId7"/>
        <a:stretch>
          <a:fillRect/>
        </a:stretch>
      </xdr:blipFill>
      <xdr:spPr>
        <a:xfrm>
          <a:off x="0" y="0"/>
          <a:ext cx="1981200" cy="2006600"/>
        </a:xfrm>
        <a:prstGeom prst="rect">
          <a:avLst/>
        </a:prstGeom>
      </xdr:spPr>
    </xdr:pic>
  </etc:cellImage>
  <etc:cellImage>
    <xdr:pic>
      <xdr:nvPicPr>
        <xdr:cNvPr id="4" name="ID_F47C416D537E43DEBD4C8E115A56FEDF" descr="LLSS-B"/>
        <xdr:cNvPicPr/>
      </xdr:nvPicPr>
      <xdr:blipFill>
        <a:blip r:embed="rId8"/>
        <a:stretch>
          <a:fillRect/>
        </a:stretch>
      </xdr:blipFill>
      <xdr:spPr>
        <a:xfrm>
          <a:off x="0" y="0"/>
          <a:ext cx="5715000" cy="7620000"/>
        </a:xfrm>
        <a:prstGeom prst="rect">
          <a:avLst/>
        </a:prstGeom>
      </xdr:spPr>
    </xdr:pic>
  </etc:cellImage>
  <etc:cellImage>
    <xdr:pic>
      <xdr:nvPicPr>
        <xdr:cNvPr id="14" name="ID_D7FF7E3D4DE44A03BE76CD49C30CB774" descr="LLSS-LG"/>
        <xdr:cNvPicPr/>
      </xdr:nvPicPr>
      <xdr:blipFill>
        <a:blip r:embed="rId9"/>
        <a:stretch>
          <a:fillRect/>
        </a:stretch>
      </xdr:blipFill>
      <xdr:spPr>
        <a:xfrm>
          <a:off x="0" y="0"/>
          <a:ext cx="5715000" cy="7620000"/>
        </a:xfrm>
        <a:prstGeom prst="rect">
          <a:avLst/>
        </a:prstGeom>
      </xdr:spPr>
    </xdr:pic>
  </etc:cellImage>
  <etc:cellImage>
    <xdr:pic>
      <xdr:nvPicPr>
        <xdr:cNvPr id="22" name="ID_11BCF0B8AC734B848F047E055D17E43F" descr="LLSS-LG 01"/>
        <xdr:cNvPicPr/>
      </xdr:nvPicPr>
      <xdr:blipFill>
        <a:blip r:embed="rId10"/>
        <a:stretch>
          <a:fillRect/>
        </a:stretch>
      </xdr:blipFill>
      <xdr:spPr>
        <a:xfrm>
          <a:off x="0" y="0"/>
          <a:ext cx="1981200" cy="2006600"/>
        </a:xfrm>
        <a:prstGeom prst="rect">
          <a:avLst/>
        </a:prstGeom>
      </xdr:spPr>
    </xdr:pic>
  </etc:cellImage>
  <etc:cellImage>
    <xdr:pic>
      <xdr:nvPicPr>
        <xdr:cNvPr id="15" name="ID_EBACEEB697E14737AF24D169367669A5" descr="LLSS-P"/>
        <xdr:cNvPicPr/>
      </xdr:nvPicPr>
      <xdr:blipFill>
        <a:blip r:embed="rId11"/>
        <a:stretch>
          <a:fillRect/>
        </a:stretch>
      </xdr:blipFill>
      <xdr:spPr>
        <a:xfrm>
          <a:off x="0" y="0"/>
          <a:ext cx="5715000" cy="7620000"/>
        </a:xfrm>
        <a:prstGeom prst="rect">
          <a:avLst/>
        </a:prstGeom>
      </xdr:spPr>
    </xdr:pic>
  </etc:cellImage>
  <etc:cellImage>
    <xdr:pic>
      <xdr:nvPicPr>
        <xdr:cNvPr id="29" name="ID_B69D179AEA164CD98245F0462E8764BD" descr="Snipaste_2025-10-27_20-48-16"/>
        <xdr:cNvPicPr/>
      </xdr:nvPicPr>
      <xdr:blipFill>
        <a:blip r:embed="rId12"/>
        <a:stretch>
          <a:fillRect/>
        </a:stretch>
      </xdr:blipFill>
      <xdr:spPr>
        <a:xfrm>
          <a:off x="0" y="0"/>
          <a:ext cx="3063240" cy="3116580"/>
        </a:xfrm>
        <a:prstGeom prst="rect">
          <a:avLst/>
        </a:prstGeom>
      </xdr:spPr>
    </xdr:pic>
  </etc:cellImage>
  <etc:cellImage>
    <xdr:pic>
      <xdr:nvPicPr>
        <xdr:cNvPr id="16" name="ID_971361761F27479FB5E55EBB3809AC87" descr="LLSS-W"/>
        <xdr:cNvPicPr/>
      </xdr:nvPicPr>
      <xdr:blipFill>
        <a:blip r:embed="rId13"/>
        <a:stretch>
          <a:fillRect/>
        </a:stretch>
      </xdr:blipFill>
      <xdr:spPr>
        <a:xfrm>
          <a:off x="0" y="0"/>
          <a:ext cx="5715000" cy="7620000"/>
        </a:xfrm>
        <a:prstGeom prst="rect">
          <a:avLst/>
        </a:prstGeom>
      </xdr:spPr>
    </xdr:pic>
  </etc:cellImage>
  <etc:cellImage>
    <xdr:pic>
      <xdr:nvPicPr>
        <xdr:cNvPr id="31" name="ID_8FFEFAF386584682880617B2A363029A" descr="LLSS-W 01"/>
        <xdr:cNvPicPr/>
      </xdr:nvPicPr>
      <xdr:blipFill>
        <a:blip r:embed="rId14"/>
        <a:stretch>
          <a:fillRect/>
        </a:stretch>
      </xdr:blipFill>
      <xdr:spPr>
        <a:xfrm>
          <a:off x="0" y="0"/>
          <a:ext cx="1981200" cy="2006600"/>
        </a:xfrm>
        <a:prstGeom prst="rect">
          <a:avLst/>
        </a:prstGeom>
      </xdr:spPr>
    </xdr:pic>
  </etc:cellImage>
  <etc:cellImage>
    <xdr:pic>
      <xdr:nvPicPr>
        <xdr:cNvPr id="41" name="ID_6AB85B96E7C144B9ACD56C72345E9593" descr="NSSS-EG 01"/>
        <xdr:cNvPicPr/>
      </xdr:nvPicPr>
      <xdr:blipFill>
        <a:blip r:embed="rId15"/>
        <a:stretch>
          <a:fillRect/>
        </a:stretch>
      </xdr:blipFill>
      <xdr:spPr>
        <a:xfrm>
          <a:off x="0" y="0"/>
          <a:ext cx="1981200" cy="2006600"/>
        </a:xfrm>
        <a:prstGeom prst="rect">
          <a:avLst/>
        </a:prstGeom>
      </xdr:spPr>
    </xdr:pic>
  </etc:cellImage>
  <etc:cellImage>
    <xdr:pic>
      <xdr:nvPicPr>
        <xdr:cNvPr id="40" name="ID_0CFE76F291F3445DBB51FE6BA7063D21" descr="NSSS-B 01"/>
        <xdr:cNvPicPr/>
      </xdr:nvPicPr>
      <xdr:blipFill>
        <a:blip r:embed="rId2"/>
        <a:stretch>
          <a:fillRect/>
        </a:stretch>
      </xdr:blipFill>
      <xdr:spPr>
        <a:xfrm>
          <a:off x="0" y="0"/>
          <a:ext cx="1421130" cy="1470025"/>
        </a:xfrm>
        <a:prstGeom prst="rect">
          <a:avLst/>
        </a:prstGeom>
      </xdr:spPr>
    </xdr:pic>
  </etc:cellImage>
  <etc:cellImage>
    <xdr:pic>
      <xdr:nvPicPr>
        <xdr:cNvPr id="32" name="ID_903C5D025C8C4ABFAE920F0C3E2E02CB" descr="NSSS-AB"/>
        <xdr:cNvPicPr/>
      </xdr:nvPicPr>
      <xdr:blipFill>
        <a:blip r:embed="rId16"/>
        <a:stretch>
          <a:fillRect/>
        </a:stretch>
      </xdr:blipFill>
      <xdr:spPr>
        <a:xfrm>
          <a:off x="0" y="0"/>
          <a:ext cx="5715000" cy="7620000"/>
        </a:xfrm>
        <a:prstGeom prst="rect">
          <a:avLst/>
        </a:prstGeom>
      </xdr:spPr>
    </xdr:pic>
  </etc:cellImage>
  <etc:cellImage>
    <xdr:pic>
      <xdr:nvPicPr>
        <xdr:cNvPr id="35" name="ID_CC1C2CDC27164234BFBF21861E422C4D" descr="NSSS-ER"/>
        <xdr:cNvPicPr/>
      </xdr:nvPicPr>
      <xdr:blipFill>
        <a:blip r:embed="rId17"/>
        <a:stretch>
          <a:fillRect/>
        </a:stretch>
      </xdr:blipFill>
      <xdr:spPr>
        <a:xfrm>
          <a:off x="0" y="0"/>
          <a:ext cx="5715000" cy="7620000"/>
        </a:xfrm>
        <a:prstGeom prst="rect">
          <a:avLst/>
        </a:prstGeom>
      </xdr:spPr>
    </xdr:pic>
  </etc:cellImage>
  <etc:cellImage>
    <xdr:pic>
      <xdr:nvPicPr>
        <xdr:cNvPr id="34" name="ID_76E7BE4E846D4AB19815B43009C942D8" descr="NSSS-EG"/>
        <xdr:cNvPicPr/>
      </xdr:nvPicPr>
      <xdr:blipFill>
        <a:blip r:embed="rId18"/>
        <a:stretch>
          <a:fillRect/>
        </a:stretch>
      </xdr:blipFill>
      <xdr:spPr>
        <a:xfrm>
          <a:off x="0" y="0"/>
          <a:ext cx="5715000" cy="7620000"/>
        </a:xfrm>
        <a:prstGeom prst="rect">
          <a:avLst/>
        </a:prstGeom>
      </xdr:spPr>
    </xdr:pic>
  </etc:cellImage>
  <etc:cellImage>
    <xdr:pic>
      <xdr:nvPicPr>
        <xdr:cNvPr id="39" name="ID_40478DD90BF84788BC25AF9A35173D5A" descr="NSSS-AB 01"/>
        <xdr:cNvPicPr/>
      </xdr:nvPicPr>
      <xdr:blipFill>
        <a:blip r:embed="rId6"/>
        <a:stretch>
          <a:fillRect/>
        </a:stretch>
      </xdr:blipFill>
      <xdr:spPr>
        <a:xfrm>
          <a:off x="0" y="0"/>
          <a:ext cx="1619250" cy="1638300"/>
        </a:xfrm>
        <a:prstGeom prst="rect">
          <a:avLst/>
        </a:prstGeom>
      </xdr:spPr>
    </xdr:pic>
  </etc:cellImage>
  <etc:cellImage>
    <xdr:pic>
      <xdr:nvPicPr>
        <xdr:cNvPr id="33" name="ID_8D899622A9584D53B47BA66447A564A9" descr="NSSS-B"/>
        <xdr:cNvPicPr/>
      </xdr:nvPicPr>
      <xdr:blipFill>
        <a:blip r:embed="rId19"/>
        <a:stretch>
          <a:fillRect/>
        </a:stretch>
      </xdr:blipFill>
      <xdr:spPr>
        <a:xfrm>
          <a:off x="0" y="0"/>
          <a:ext cx="5715000" cy="7620000"/>
        </a:xfrm>
        <a:prstGeom prst="rect">
          <a:avLst/>
        </a:prstGeom>
      </xdr:spPr>
    </xdr:pic>
  </etc:cellImage>
  <etc:cellImage>
    <xdr:pic>
      <xdr:nvPicPr>
        <xdr:cNvPr id="42" name="ID_0DB94127D942496B82DBEA237E42EAF7" descr="NSSS-ER 01"/>
        <xdr:cNvPicPr/>
      </xdr:nvPicPr>
      <xdr:blipFill>
        <a:blip r:embed="rId1"/>
        <a:stretch>
          <a:fillRect/>
        </a:stretch>
      </xdr:blipFill>
      <xdr:spPr>
        <a:xfrm>
          <a:off x="0" y="0"/>
          <a:ext cx="1485900" cy="1504950"/>
        </a:xfrm>
        <a:prstGeom prst="rect">
          <a:avLst/>
        </a:prstGeom>
      </xdr:spPr>
    </xdr:pic>
  </etc:cellImage>
  <etc:cellImage>
    <xdr:pic>
      <xdr:nvPicPr>
        <xdr:cNvPr id="36" name="ID_4B948695933B4955BE84D88CB88E6D27" descr="NSSS-HC"/>
        <xdr:cNvPicPr/>
      </xdr:nvPicPr>
      <xdr:blipFill>
        <a:blip r:embed="rId20"/>
        <a:stretch>
          <a:fillRect/>
        </a:stretch>
      </xdr:blipFill>
      <xdr:spPr>
        <a:xfrm>
          <a:off x="0" y="0"/>
          <a:ext cx="5715000" cy="7620000"/>
        </a:xfrm>
        <a:prstGeom prst="rect">
          <a:avLst/>
        </a:prstGeom>
      </xdr:spPr>
    </xdr:pic>
  </etc:cellImage>
  <etc:cellImage>
    <xdr:pic>
      <xdr:nvPicPr>
        <xdr:cNvPr id="43" name="ID_6224539E859941EF9D7D99BDDB4A24D6" descr="NSSS-HC 01"/>
        <xdr:cNvPicPr/>
      </xdr:nvPicPr>
      <xdr:blipFill>
        <a:blip r:embed="rId7"/>
        <a:stretch>
          <a:fillRect/>
        </a:stretch>
      </xdr:blipFill>
      <xdr:spPr>
        <a:xfrm>
          <a:off x="0" y="0"/>
          <a:ext cx="1981200" cy="2006600"/>
        </a:xfrm>
        <a:prstGeom prst="rect">
          <a:avLst/>
        </a:prstGeom>
      </xdr:spPr>
    </xdr:pic>
  </etc:cellImage>
  <etc:cellImage>
    <xdr:pic>
      <xdr:nvPicPr>
        <xdr:cNvPr id="37" name="ID_91D1EE301DCF4248A77BFE52D7C67CA0" descr="NSSS-P"/>
        <xdr:cNvPicPr/>
      </xdr:nvPicPr>
      <xdr:blipFill>
        <a:blip r:embed="rId21"/>
        <a:stretch>
          <a:fillRect/>
        </a:stretch>
      </xdr:blipFill>
      <xdr:spPr>
        <a:xfrm>
          <a:off x="0" y="0"/>
          <a:ext cx="5715000" cy="7620000"/>
        </a:xfrm>
        <a:prstGeom prst="rect">
          <a:avLst/>
        </a:prstGeom>
      </xdr:spPr>
    </xdr:pic>
  </etc:cellImage>
  <etc:cellImage>
    <xdr:pic>
      <xdr:nvPicPr>
        <xdr:cNvPr id="44" name="ID_2F5E4B5258F247828B8AC37077302F8B" descr="NSSS-P 01"/>
        <xdr:cNvPicPr/>
      </xdr:nvPicPr>
      <xdr:blipFill>
        <a:blip r:embed="rId12"/>
        <a:stretch>
          <a:fillRect/>
        </a:stretch>
      </xdr:blipFill>
      <xdr:spPr>
        <a:xfrm>
          <a:off x="0" y="0"/>
          <a:ext cx="3063240" cy="3116580"/>
        </a:xfrm>
        <a:prstGeom prst="rect">
          <a:avLst/>
        </a:prstGeom>
      </xdr:spPr>
    </xdr:pic>
  </etc:cellImage>
  <etc:cellImage>
    <xdr:pic>
      <xdr:nvPicPr>
        <xdr:cNvPr id="38" name="ID_920FD618BE824D949B1A5399780C7E0E" descr="NSSS-W"/>
        <xdr:cNvPicPr/>
      </xdr:nvPicPr>
      <xdr:blipFill>
        <a:blip r:embed="rId22"/>
        <a:stretch>
          <a:fillRect/>
        </a:stretch>
      </xdr:blipFill>
      <xdr:spPr>
        <a:xfrm>
          <a:off x="0" y="0"/>
          <a:ext cx="5715000" cy="7620000"/>
        </a:xfrm>
        <a:prstGeom prst="rect">
          <a:avLst/>
        </a:prstGeom>
      </xdr:spPr>
    </xdr:pic>
  </etc:cellImage>
  <etc:cellImage>
    <xdr:pic>
      <xdr:nvPicPr>
        <xdr:cNvPr id="45" name="ID_D70652B635C24F2AB96AEF609D21445C" descr="NSSS-W 01"/>
        <xdr:cNvPicPr/>
      </xdr:nvPicPr>
      <xdr:blipFill>
        <a:blip r:embed="rId14"/>
        <a:stretch>
          <a:fillRect/>
        </a:stretch>
      </xdr:blipFill>
      <xdr:spPr>
        <a:xfrm>
          <a:off x="0" y="0"/>
          <a:ext cx="1981200" cy="2006600"/>
        </a:xfrm>
        <a:prstGeom prst="rect">
          <a:avLst/>
        </a:prstGeom>
      </xdr:spPr>
    </xdr:pic>
  </etc:cellImage>
  <etc:cellImage>
    <xdr:pic>
      <xdr:nvPicPr>
        <xdr:cNvPr id="57" name="ID_BF03DB259DC34C5485B43FFEF0C40EC8" descr="SLSS-AB 01"/>
        <xdr:cNvPicPr/>
      </xdr:nvPicPr>
      <xdr:blipFill>
        <a:blip r:embed="rId6"/>
        <a:stretch>
          <a:fillRect/>
        </a:stretch>
      </xdr:blipFill>
      <xdr:spPr>
        <a:xfrm>
          <a:off x="0" y="0"/>
          <a:ext cx="1619250" cy="1638300"/>
        </a:xfrm>
        <a:prstGeom prst="rect">
          <a:avLst/>
        </a:prstGeom>
      </xdr:spPr>
    </xdr:pic>
  </etc:cellImage>
  <etc:cellImage>
    <xdr:pic>
      <xdr:nvPicPr>
        <xdr:cNvPr id="47" name="ID_62C95EA4E02F487C8E2D3055F89B00FD" descr="SLSS-AB"/>
        <xdr:cNvPicPr/>
      </xdr:nvPicPr>
      <xdr:blipFill>
        <a:blip r:embed="rId23"/>
        <a:stretch>
          <a:fillRect/>
        </a:stretch>
      </xdr:blipFill>
      <xdr:spPr>
        <a:xfrm>
          <a:off x="0" y="0"/>
          <a:ext cx="5715000" cy="7620000"/>
        </a:xfrm>
        <a:prstGeom prst="rect">
          <a:avLst/>
        </a:prstGeom>
      </xdr:spPr>
    </xdr:pic>
  </etc:cellImage>
  <etc:cellImage>
    <xdr:pic>
      <xdr:nvPicPr>
        <xdr:cNvPr id="51" name="ID_1FA77A749AD946E7B640C690DB7057E8" descr="SLSS-ER"/>
        <xdr:cNvPicPr/>
      </xdr:nvPicPr>
      <xdr:blipFill>
        <a:blip r:embed="rId24"/>
        <a:stretch>
          <a:fillRect/>
        </a:stretch>
      </xdr:blipFill>
      <xdr:spPr>
        <a:xfrm>
          <a:off x="0" y="0"/>
          <a:ext cx="5715000" cy="7620000"/>
        </a:xfrm>
        <a:prstGeom prst="rect">
          <a:avLst/>
        </a:prstGeom>
      </xdr:spPr>
    </xdr:pic>
  </etc:cellImage>
  <etc:cellImage>
    <xdr:pic>
      <xdr:nvPicPr>
        <xdr:cNvPr id="49" name="ID_43CE3B4888ED47C781BAF1051D5775DC" descr="SLSS-D"/>
        <xdr:cNvPicPr/>
      </xdr:nvPicPr>
      <xdr:blipFill>
        <a:blip r:embed="rId25"/>
        <a:stretch>
          <a:fillRect/>
        </a:stretch>
      </xdr:blipFill>
      <xdr:spPr>
        <a:xfrm>
          <a:off x="0" y="0"/>
          <a:ext cx="5715000" cy="7620000"/>
        </a:xfrm>
        <a:prstGeom prst="rect">
          <a:avLst/>
        </a:prstGeom>
      </xdr:spPr>
    </xdr:pic>
  </etc:cellImage>
  <etc:cellImage>
    <xdr:pic>
      <xdr:nvPicPr>
        <xdr:cNvPr id="48" name="ID_33F047235D7448E0BDB32F1CA29559E9" descr="SLSS-B"/>
        <xdr:cNvPicPr/>
      </xdr:nvPicPr>
      <xdr:blipFill>
        <a:blip r:embed="rId26"/>
        <a:stretch>
          <a:fillRect/>
        </a:stretch>
      </xdr:blipFill>
      <xdr:spPr>
        <a:xfrm>
          <a:off x="0" y="0"/>
          <a:ext cx="5715000" cy="7620000"/>
        </a:xfrm>
        <a:prstGeom prst="rect">
          <a:avLst/>
        </a:prstGeom>
      </xdr:spPr>
    </xdr:pic>
  </etc:cellImage>
  <etc:cellImage>
    <xdr:pic>
      <xdr:nvPicPr>
        <xdr:cNvPr id="58" name="ID_9015C1152CB948398E40FDA4ECDF04C6" descr="SLSS-B 01"/>
        <xdr:cNvPicPr/>
      </xdr:nvPicPr>
      <xdr:blipFill>
        <a:blip r:embed="rId2"/>
        <a:stretch>
          <a:fillRect/>
        </a:stretch>
      </xdr:blipFill>
      <xdr:spPr>
        <a:xfrm>
          <a:off x="0" y="0"/>
          <a:ext cx="1421130" cy="1470025"/>
        </a:xfrm>
        <a:prstGeom prst="rect">
          <a:avLst/>
        </a:prstGeom>
      </xdr:spPr>
    </xdr:pic>
  </etc:cellImage>
  <etc:cellImage>
    <xdr:pic>
      <xdr:nvPicPr>
        <xdr:cNvPr id="60" name="ID_024F7F6561E048C68CA3670494339A8B" descr="SLSS-ER 01"/>
        <xdr:cNvPicPr/>
      </xdr:nvPicPr>
      <xdr:blipFill>
        <a:blip r:embed="rId1"/>
        <a:stretch>
          <a:fillRect/>
        </a:stretch>
      </xdr:blipFill>
      <xdr:spPr>
        <a:xfrm>
          <a:off x="0" y="0"/>
          <a:ext cx="1485900" cy="1504950"/>
        </a:xfrm>
        <a:prstGeom prst="rect">
          <a:avLst/>
        </a:prstGeom>
      </xdr:spPr>
    </xdr:pic>
  </etc:cellImage>
  <etc:cellImage>
    <xdr:pic>
      <xdr:nvPicPr>
        <xdr:cNvPr id="59" name="ID_330E87FB94F74EE7BBC7B3D8CE842085" descr="SLSS-D 01"/>
        <xdr:cNvPicPr/>
      </xdr:nvPicPr>
      <xdr:blipFill>
        <a:blip r:embed="rId27"/>
        <a:stretch>
          <a:fillRect/>
        </a:stretch>
      </xdr:blipFill>
      <xdr:spPr>
        <a:xfrm>
          <a:off x="0" y="0"/>
          <a:ext cx="1485900" cy="1428750"/>
        </a:xfrm>
        <a:prstGeom prst="rect">
          <a:avLst/>
        </a:prstGeom>
      </xdr:spPr>
    </xdr:pic>
  </etc:cellImage>
  <etc:cellImage>
    <xdr:pic>
      <xdr:nvPicPr>
        <xdr:cNvPr id="52" name="ID_EC8C090BFDBF4CDEB82D804424C36DA6" descr="SLSS-HC"/>
        <xdr:cNvPicPr/>
      </xdr:nvPicPr>
      <xdr:blipFill>
        <a:blip r:embed="rId28"/>
        <a:stretch>
          <a:fillRect/>
        </a:stretch>
      </xdr:blipFill>
      <xdr:spPr>
        <a:xfrm>
          <a:off x="0" y="0"/>
          <a:ext cx="2857500" cy="3810000"/>
        </a:xfrm>
        <a:prstGeom prst="rect">
          <a:avLst/>
        </a:prstGeom>
      </xdr:spPr>
    </xdr:pic>
  </etc:cellImage>
  <etc:cellImage>
    <xdr:pic>
      <xdr:nvPicPr>
        <xdr:cNvPr id="61" name="ID_18C6F6EB13E640F59B308565A77BCB99" descr="SLSS-HC 01"/>
        <xdr:cNvPicPr/>
      </xdr:nvPicPr>
      <xdr:blipFill>
        <a:blip r:embed="rId7"/>
        <a:stretch>
          <a:fillRect/>
        </a:stretch>
      </xdr:blipFill>
      <xdr:spPr>
        <a:xfrm>
          <a:off x="0" y="0"/>
          <a:ext cx="1981200" cy="2006600"/>
        </a:xfrm>
        <a:prstGeom prst="rect">
          <a:avLst/>
        </a:prstGeom>
      </xdr:spPr>
    </xdr:pic>
  </etc:cellImage>
  <etc:cellImage>
    <xdr:pic>
      <xdr:nvPicPr>
        <xdr:cNvPr id="53" name="ID_277AB3C3758F41F1A1EFE54023AED688" descr="SLSS-LB"/>
        <xdr:cNvPicPr/>
      </xdr:nvPicPr>
      <xdr:blipFill>
        <a:blip r:embed="rId29"/>
        <a:stretch>
          <a:fillRect/>
        </a:stretch>
      </xdr:blipFill>
      <xdr:spPr>
        <a:xfrm>
          <a:off x="0" y="0"/>
          <a:ext cx="5715000" cy="7620000"/>
        </a:xfrm>
        <a:prstGeom prst="rect">
          <a:avLst/>
        </a:prstGeom>
      </xdr:spPr>
    </xdr:pic>
  </etc:cellImage>
  <etc:cellImage>
    <xdr:pic>
      <xdr:nvPicPr>
        <xdr:cNvPr id="62" name="ID_4CA21A0154194B5A96D90B925272A092" descr="SLSS-LB 01"/>
        <xdr:cNvPicPr/>
      </xdr:nvPicPr>
      <xdr:blipFill>
        <a:blip r:embed="rId30"/>
        <a:stretch>
          <a:fillRect/>
        </a:stretch>
      </xdr:blipFill>
      <xdr:spPr>
        <a:xfrm>
          <a:off x="0" y="0"/>
          <a:ext cx="1981200" cy="2006600"/>
        </a:xfrm>
        <a:prstGeom prst="rect">
          <a:avLst/>
        </a:prstGeom>
      </xdr:spPr>
    </xdr:pic>
  </etc:cellImage>
  <etc:cellImage>
    <xdr:pic>
      <xdr:nvPicPr>
        <xdr:cNvPr id="55" name="ID_74E2A9C1F36F487185DEC02660EB9273" descr="SLSS-P"/>
        <xdr:cNvPicPr/>
      </xdr:nvPicPr>
      <xdr:blipFill>
        <a:blip r:embed="rId31"/>
        <a:stretch>
          <a:fillRect/>
        </a:stretch>
      </xdr:blipFill>
      <xdr:spPr>
        <a:xfrm>
          <a:off x="0" y="0"/>
          <a:ext cx="2857500" cy="3810000"/>
        </a:xfrm>
        <a:prstGeom prst="rect">
          <a:avLst/>
        </a:prstGeom>
      </xdr:spPr>
    </xdr:pic>
  </etc:cellImage>
  <etc:cellImage>
    <xdr:pic>
      <xdr:nvPicPr>
        <xdr:cNvPr id="63" name="ID_6FA343753CA645F3B0D6DFCC9F76CC45" descr="SLSS-P 01"/>
        <xdr:cNvPicPr/>
      </xdr:nvPicPr>
      <xdr:blipFill>
        <a:blip r:embed="rId12"/>
        <a:stretch>
          <a:fillRect/>
        </a:stretch>
      </xdr:blipFill>
      <xdr:spPr>
        <a:xfrm>
          <a:off x="0" y="0"/>
          <a:ext cx="3063240" cy="3116580"/>
        </a:xfrm>
        <a:prstGeom prst="rect">
          <a:avLst/>
        </a:prstGeom>
      </xdr:spPr>
    </xdr:pic>
  </etc:cellImage>
  <etc:cellImage>
    <xdr:pic>
      <xdr:nvPicPr>
        <xdr:cNvPr id="56" name="ID_9FCEB2B2CADF4451B8E1832A9FC8DE9C" descr="SLSS-W"/>
        <xdr:cNvPicPr/>
      </xdr:nvPicPr>
      <xdr:blipFill>
        <a:blip r:embed="rId32"/>
        <a:stretch>
          <a:fillRect/>
        </a:stretch>
      </xdr:blipFill>
      <xdr:spPr>
        <a:xfrm>
          <a:off x="0" y="0"/>
          <a:ext cx="5715000" cy="7620000"/>
        </a:xfrm>
        <a:prstGeom prst="rect">
          <a:avLst/>
        </a:prstGeom>
      </xdr:spPr>
    </xdr:pic>
  </etc:cellImage>
  <etc:cellImage>
    <xdr:pic>
      <xdr:nvPicPr>
        <xdr:cNvPr id="64" name="ID_FFFAD574B3A04438A3D8300499A11403" descr="SLSS-W 01"/>
        <xdr:cNvPicPr/>
      </xdr:nvPicPr>
      <xdr:blipFill>
        <a:blip r:embed="rId14"/>
        <a:stretch>
          <a:fillRect/>
        </a:stretch>
      </xdr:blipFill>
      <xdr:spPr>
        <a:xfrm>
          <a:off x="0" y="0"/>
          <a:ext cx="1981200" cy="2006600"/>
        </a:xfrm>
        <a:prstGeom prst="rect">
          <a:avLst/>
        </a:prstGeom>
      </xdr:spPr>
    </xdr:pic>
  </etc:cellImage>
  <etc:cellImage>
    <xdr:pic>
      <xdr:nvPicPr>
        <xdr:cNvPr id="67" name="ID_047EDA71E40F433FAEAB1786FFAC1457" descr="SS-B"/>
        <xdr:cNvPicPr/>
      </xdr:nvPicPr>
      <xdr:blipFill>
        <a:blip r:embed="rId33"/>
        <a:stretch>
          <a:fillRect/>
        </a:stretch>
      </xdr:blipFill>
      <xdr:spPr>
        <a:xfrm>
          <a:off x="0" y="0"/>
          <a:ext cx="5715000" cy="7620000"/>
        </a:xfrm>
        <a:prstGeom prst="rect">
          <a:avLst/>
        </a:prstGeom>
      </xdr:spPr>
    </xdr:pic>
  </etc:cellImage>
  <etc:cellImage>
    <xdr:pic>
      <xdr:nvPicPr>
        <xdr:cNvPr id="73" name="ID_C53A9180E470419EA3D55C8CB613D3A5" descr="SS-AB 01"/>
        <xdr:cNvPicPr/>
      </xdr:nvPicPr>
      <xdr:blipFill>
        <a:blip r:embed="rId6"/>
        <a:stretch>
          <a:fillRect/>
        </a:stretch>
      </xdr:blipFill>
      <xdr:spPr>
        <a:xfrm>
          <a:off x="0" y="0"/>
          <a:ext cx="1619250" cy="1638300"/>
        </a:xfrm>
        <a:prstGeom prst="rect">
          <a:avLst/>
        </a:prstGeom>
      </xdr:spPr>
    </xdr:pic>
  </etc:cellImage>
  <etc:cellImage>
    <xdr:pic>
      <xdr:nvPicPr>
        <xdr:cNvPr id="66" name="ID_CE9236E71D544781889115AEFCA8E210" descr="SS-AB"/>
        <xdr:cNvPicPr/>
      </xdr:nvPicPr>
      <xdr:blipFill>
        <a:blip r:embed="rId34"/>
        <a:stretch>
          <a:fillRect/>
        </a:stretch>
      </xdr:blipFill>
      <xdr:spPr>
        <a:xfrm>
          <a:off x="0" y="0"/>
          <a:ext cx="5715000" cy="7620000"/>
        </a:xfrm>
        <a:prstGeom prst="rect">
          <a:avLst/>
        </a:prstGeom>
      </xdr:spPr>
    </xdr:pic>
  </etc:cellImage>
  <etc:cellImage>
    <xdr:pic>
      <xdr:nvPicPr>
        <xdr:cNvPr id="76" name="ID_6CCC7E562F7247D3AC7A4A363FD645D0" descr="SS-HC 01"/>
        <xdr:cNvPicPr/>
      </xdr:nvPicPr>
      <xdr:blipFill>
        <a:blip r:embed="rId7"/>
        <a:stretch>
          <a:fillRect/>
        </a:stretch>
      </xdr:blipFill>
      <xdr:spPr>
        <a:xfrm>
          <a:off x="0" y="0"/>
          <a:ext cx="1981200" cy="2006600"/>
        </a:xfrm>
        <a:prstGeom prst="rect">
          <a:avLst/>
        </a:prstGeom>
      </xdr:spPr>
    </xdr:pic>
  </etc:cellImage>
  <etc:cellImage>
    <xdr:pic>
      <xdr:nvPicPr>
        <xdr:cNvPr id="75" name="ID_D580D75AC8DB4CEDB332B0024ACFF1E0" descr="SS-ER 01"/>
        <xdr:cNvPicPr/>
      </xdr:nvPicPr>
      <xdr:blipFill>
        <a:blip r:embed="rId1"/>
        <a:stretch>
          <a:fillRect/>
        </a:stretch>
      </xdr:blipFill>
      <xdr:spPr>
        <a:xfrm>
          <a:off x="0" y="0"/>
          <a:ext cx="1485900" cy="1504950"/>
        </a:xfrm>
        <a:prstGeom prst="rect">
          <a:avLst/>
        </a:prstGeom>
      </xdr:spPr>
    </xdr:pic>
  </etc:cellImage>
  <etc:cellImage>
    <xdr:pic>
      <xdr:nvPicPr>
        <xdr:cNvPr id="74" name="ID_D08FF2E544324F038FBCE8A32045E541" descr="SS-B 01"/>
        <xdr:cNvPicPr/>
      </xdr:nvPicPr>
      <xdr:blipFill>
        <a:blip r:embed="rId2"/>
        <a:stretch>
          <a:fillRect/>
        </a:stretch>
      </xdr:blipFill>
      <xdr:spPr>
        <a:xfrm>
          <a:off x="0" y="0"/>
          <a:ext cx="1421130" cy="1470025"/>
        </a:xfrm>
        <a:prstGeom prst="rect">
          <a:avLst/>
        </a:prstGeom>
      </xdr:spPr>
    </xdr:pic>
  </etc:cellImage>
  <etc:cellImage>
    <xdr:pic>
      <xdr:nvPicPr>
        <xdr:cNvPr id="69" name="ID_CACDE121C85F49F1A34BB34C5B35AC1B" descr="SS-HC"/>
        <xdr:cNvPicPr/>
      </xdr:nvPicPr>
      <xdr:blipFill>
        <a:blip r:embed="rId35"/>
        <a:stretch>
          <a:fillRect/>
        </a:stretch>
      </xdr:blipFill>
      <xdr:spPr>
        <a:xfrm>
          <a:off x="0" y="0"/>
          <a:ext cx="5715000" cy="7620000"/>
        </a:xfrm>
        <a:prstGeom prst="rect">
          <a:avLst/>
        </a:prstGeom>
      </xdr:spPr>
    </xdr:pic>
  </etc:cellImage>
  <etc:cellImage>
    <xdr:pic>
      <xdr:nvPicPr>
        <xdr:cNvPr id="68" name="ID_994B03F3A6DA4523959EAB89A3FAE53A" descr="SS-ER"/>
        <xdr:cNvPicPr/>
      </xdr:nvPicPr>
      <xdr:blipFill>
        <a:blip r:embed="rId36"/>
        <a:stretch>
          <a:fillRect/>
        </a:stretch>
      </xdr:blipFill>
      <xdr:spPr>
        <a:xfrm>
          <a:off x="0" y="0"/>
          <a:ext cx="5715000" cy="7620000"/>
        </a:xfrm>
        <a:prstGeom prst="rect">
          <a:avLst/>
        </a:prstGeom>
      </xdr:spPr>
    </xdr:pic>
  </etc:cellImage>
  <etc:cellImage>
    <xdr:pic>
      <xdr:nvPicPr>
        <xdr:cNvPr id="70" name="ID_823A1A361C6E42C9A3EEF6A44066A041" descr="SS-MM"/>
        <xdr:cNvPicPr/>
      </xdr:nvPicPr>
      <xdr:blipFill>
        <a:blip r:embed="rId37"/>
        <a:stretch>
          <a:fillRect/>
        </a:stretch>
      </xdr:blipFill>
      <xdr:spPr>
        <a:xfrm>
          <a:off x="0" y="0"/>
          <a:ext cx="5715000" cy="7620000"/>
        </a:xfrm>
        <a:prstGeom prst="rect">
          <a:avLst/>
        </a:prstGeom>
      </xdr:spPr>
    </xdr:pic>
  </etc:cellImage>
  <etc:cellImage>
    <xdr:pic>
      <xdr:nvPicPr>
        <xdr:cNvPr id="77" name="ID_C0128DF2FAF542A89F97D44394DCDD24" descr="SS-MM 01"/>
        <xdr:cNvPicPr/>
      </xdr:nvPicPr>
      <xdr:blipFill>
        <a:blip r:embed="rId38"/>
        <a:stretch>
          <a:fillRect/>
        </a:stretch>
      </xdr:blipFill>
      <xdr:spPr>
        <a:xfrm>
          <a:off x="0" y="0"/>
          <a:ext cx="1981200" cy="2006600"/>
        </a:xfrm>
        <a:prstGeom prst="rect">
          <a:avLst/>
        </a:prstGeom>
      </xdr:spPr>
    </xdr:pic>
  </etc:cellImage>
  <etc:cellImage>
    <xdr:pic>
      <xdr:nvPicPr>
        <xdr:cNvPr id="71" name="ID_2042ED63B4674E09A16993BB8F2D8B0F" descr="SS-P"/>
        <xdr:cNvPicPr/>
      </xdr:nvPicPr>
      <xdr:blipFill>
        <a:blip r:embed="rId39"/>
        <a:stretch>
          <a:fillRect/>
        </a:stretch>
      </xdr:blipFill>
      <xdr:spPr>
        <a:xfrm>
          <a:off x="0" y="0"/>
          <a:ext cx="5715000" cy="7620000"/>
        </a:xfrm>
        <a:prstGeom prst="rect">
          <a:avLst/>
        </a:prstGeom>
      </xdr:spPr>
    </xdr:pic>
  </etc:cellImage>
  <etc:cellImage>
    <xdr:pic>
      <xdr:nvPicPr>
        <xdr:cNvPr id="78" name="ID_DCDD6B5B1EF74D888D7B2E950D0AC4D6" descr="SS-P 01"/>
        <xdr:cNvPicPr/>
      </xdr:nvPicPr>
      <xdr:blipFill>
        <a:blip r:embed="rId12"/>
        <a:stretch>
          <a:fillRect/>
        </a:stretch>
      </xdr:blipFill>
      <xdr:spPr>
        <a:xfrm>
          <a:off x="0" y="0"/>
          <a:ext cx="3063240" cy="3116580"/>
        </a:xfrm>
        <a:prstGeom prst="rect">
          <a:avLst/>
        </a:prstGeom>
      </xdr:spPr>
    </xdr:pic>
  </etc:cellImage>
  <etc:cellImage>
    <xdr:pic>
      <xdr:nvPicPr>
        <xdr:cNvPr id="72" name="ID_CA96676ECED34CCB82321AEF7996C68D" descr="SS-W"/>
        <xdr:cNvPicPr/>
      </xdr:nvPicPr>
      <xdr:blipFill>
        <a:blip r:embed="rId40"/>
        <a:stretch>
          <a:fillRect/>
        </a:stretch>
      </xdr:blipFill>
      <xdr:spPr>
        <a:xfrm>
          <a:off x="0" y="0"/>
          <a:ext cx="5715000" cy="7620000"/>
        </a:xfrm>
        <a:prstGeom prst="rect">
          <a:avLst/>
        </a:prstGeom>
      </xdr:spPr>
    </xdr:pic>
  </etc:cellImage>
  <etc:cellImage>
    <xdr:pic>
      <xdr:nvPicPr>
        <xdr:cNvPr id="79" name="ID_F42B14723A2C4FA597DDAF2DE47CEE9C" descr="SS-W 01"/>
        <xdr:cNvPicPr/>
      </xdr:nvPicPr>
      <xdr:blipFill>
        <a:blip r:embed="rId14"/>
        <a:stretch>
          <a:fillRect/>
        </a:stretch>
      </xdr:blipFill>
      <xdr:spPr>
        <a:xfrm>
          <a:off x="0" y="0"/>
          <a:ext cx="1981200" cy="2006600"/>
        </a:xfrm>
        <a:prstGeom prst="rect">
          <a:avLst/>
        </a:prstGeom>
      </xdr:spPr>
    </xdr:pic>
  </etc:cellImage>
  <etc:cellImage>
    <xdr:pic>
      <xdr:nvPicPr>
        <xdr:cNvPr id="83" name="ID_6677A89E93FF46A8AE453AEE51F0B95B" descr="SL-W"/>
        <xdr:cNvPicPr/>
      </xdr:nvPicPr>
      <xdr:blipFill>
        <a:blip r:embed="rId41"/>
        <a:stretch>
          <a:fillRect/>
        </a:stretch>
      </xdr:blipFill>
      <xdr:spPr>
        <a:xfrm>
          <a:off x="0" y="0"/>
          <a:ext cx="5715000" cy="7620000"/>
        </a:xfrm>
        <a:prstGeom prst="rect">
          <a:avLst/>
        </a:prstGeom>
      </xdr:spPr>
    </xdr:pic>
  </etc:cellImage>
  <etc:cellImage>
    <xdr:pic>
      <xdr:nvPicPr>
        <xdr:cNvPr id="81" name="ID_7A0C4E1F82B34A0EBB32AD62B82B46A3" descr="SL-CB"/>
        <xdr:cNvPicPr/>
      </xdr:nvPicPr>
      <xdr:blipFill>
        <a:blip r:embed="rId42"/>
        <a:stretch>
          <a:fillRect/>
        </a:stretch>
      </xdr:blipFill>
      <xdr:spPr>
        <a:xfrm>
          <a:off x="0" y="0"/>
          <a:ext cx="5715000" cy="7620000"/>
        </a:xfrm>
        <a:prstGeom prst="rect">
          <a:avLst/>
        </a:prstGeom>
      </xdr:spPr>
    </xdr:pic>
  </etc:cellImage>
  <etc:cellImage>
    <xdr:pic>
      <xdr:nvPicPr>
        <xdr:cNvPr id="80" name="ID_098F0251D9FC4D97AF0D97E443A49C50" descr="SL-B"/>
        <xdr:cNvPicPr/>
      </xdr:nvPicPr>
      <xdr:blipFill>
        <a:blip r:embed="rId43"/>
        <a:stretch>
          <a:fillRect/>
        </a:stretch>
      </xdr:blipFill>
      <xdr:spPr>
        <a:xfrm>
          <a:off x="0" y="0"/>
          <a:ext cx="5715000" cy="7620000"/>
        </a:xfrm>
        <a:prstGeom prst="rect">
          <a:avLst/>
        </a:prstGeom>
      </xdr:spPr>
    </xdr:pic>
  </etc:cellImage>
  <etc:cellImage>
    <xdr:pic>
      <xdr:nvPicPr>
        <xdr:cNvPr id="87" name="ID_228353B4F957412199EC6628B3EC2C9F" descr="SL-W 01"/>
        <xdr:cNvPicPr/>
      </xdr:nvPicPr>
      <xdr:blipFill>
        <a:blip r:embed="rId14"/>
        <a:stretch>
          <a:fillRect/>
        </a:stretch>
      </xdr:blipFill>
      <xdr:spPr>
        <a:xfrm>
          <a:off x="0" y="0"/>
          <a:ext cx="1981200" cy="2006600"/>
        </a:xfrm>
        <a:prstGeom prst="rect">
          <a:avLst/>
        </a:prstGeom>
      </xdr:spPr>
    </xdr:pic>
  </etc:cellImage>
  <etc:cellImage>
    <xdr:pic>
      <xdr:nvPicPr>
        <xdr:cNvPr id="85" name="ID_9305004DF0A5482890C9FFC33AABBAB4" descr="SL-CB 01"/>
        <xdr:cNvPicPr/>
      </xdr:nvPicPr>
      <xdr:blipFill>
        <a:blip r:embed="rId44"/>
        <a:stretch>
          <a:fillRect/>
        </a:stretch>
      </xdr:blipFill>
      <xdr:spPr>
        <a:xfrm>
          <a:off x="0" y="0"/>
          <a:ext cx="1628775" cy="1609725"/>
        </a:xfrm>
        <a:prstGeom prst="rect">
          <a:avLst/>
        </a:prstGeom>
      </xdr:spPr>
    </xdr:pic>
  </etc:cellImage>
  <etc:cellImage>
    <xdr:pic>
      <xdr:nvPicPr>
        <xdr:cNvPr id="84" name="ID_159BEE8792CE4990ABB110FF2D185479" descr="SL-B 01"/>
        <xdr:cNvPicPr/>
      </xdr:nvPicPr>
      <xdr:blipFill>
        <a:blip r:embed="rId2"/>
        <a:stretch>
          <a:fillRect/>
        </a:stretch>
      </xdr:blipFill>
      <xdr:spPr>
        <a:xfrm>
          <a:off x="0" y="0"/>
          <a:ext cx="1421130" cy="1470025"/>
        </a:xfrm>
        <a:prstGeom prst="rect">
          <a:avLst/>
        </a:prstGeom>
      </xdr:spPr>
    </xdr:pic>
  </etc:cellImage>
  <etc:cellImage>
    <xdr:pic>
      <xdr:nvPicPr>
        <xdr:cNvPr id="82" name="ID_698EAC9540354B6DB4B1A49857278255" descr="SL-P"/>
        <xdr:cNvPicPr/>
      </xdr:nvPicPr>
      <xdr:blipFill>
        <a:blip r:embed="rId45"/>
        <a:stretch>
          <a:fillRect/>
        </a:stretch>
      </xdr:blipFill>
      <xdr:spPr>
        <a:xfrm>
          <a:off x="0" y="0"/>
          <a:ext cx="5715000" cy="7620000"/>
        </a:xfrm>
        <a:prstGeom prst="rect">
          <a:avLst/>
        </a:prstGeom>
      </xdr:spPr>
    </xdr:pic>
  </etc:cellImage>
  <etc:cellImage>
    <xdr:pic>
      <xdr:nvPicPr>
        <xdr:cNvPr id="86" name="ID_1658201FC8244EF294356BE5162534EC" descr="SL-P 01"/>
        <xdr:cNvPicPr/>
      </xdr:nvPicPr>
      <xdr:blipFill>
        <a:blip r:embed="rId12"/>
        <a:stretch>
          <a:fillRect/>
        </a:stretch>
      </xdr:blipFill>
      <xdr:spPr>
        <a:xfrm>
          <a:off x="0" y="0"/>
          <a:ext cx="3063240" cy="3116580"/>
        </a:xfrm>
        <a:prstGeom prst="rect">
          <a:avLst/>
        </a:prstGeom>
      </xdr:spPr>
    </xdr:pic>
  </etc:cellImage>
  <etc:cellImage>
    <xdr:pic>
      <xdr:nvPicPr>
        <xdr:cNvPr id="2" name="ID_536C4EBEC4A5413692D260494EA438FF" descr="WF01-B"/>
        <xdr:cNvPicPr/>
      </xdr:nvPicPr>
      <xdr:blipFill>
        <a:blip r:embed="rId46"/>
        <a:stretch>
          <a:fillRect/>
        </a:stretch>
      </xdr:blipFill>
      <xdr:spPr>
        <a:xfrm>
          <a:off x="0" y="0"/>
          <a:ext cx="5715000" cy="7620000"/>
        </a:xfrm>
        <a:prstGeom prst="rect">
          <a:avLst/>
        </a:prstGeom>
      </xdr:spPr>
    </xdr:pic>
  </etc:cellImage>
  <etc:cellImage>
    <xdr:pic>
      <xdr:nvPicPr>
        <xdr:cNvPr id="10" name="ID_3AB5977A81664F71BD4CE751CF42F6F1" descr="WF01-GN"/>
        <xdr:cNvPicPr/>
      </xdr:nvPicPr>
      <xdr:blipFill>
        <a:blip r:embed="rId47"/>
        <a:stretch>
          <a:fillRect/>
        </a:stretch>
      </xdr:blipFill>
      <xdr:spPr>
        <a:xfrm>
          <a:off x="0" y="0"/>
          <a:ext cx="5715000" cy="7620000"/>
        </a:xfrm>
        <a:prstGeom prst="rect">
          <a:avLst/>
        </a:prstGeom>
      </xdr:spPr>
    </xdr:pic>
  </etc:cellImage>
  <etc:cellImage>
    <xdr:pic>
      <xdr:nvPicPr>
        <xdr:cNvPr id="6" name="ID_885819875031417D8BDE42E4447AD108" descr="WF01-AB"/>
        <xdr:cNvPicPr/>
      </xdr:nvPicPr>
      <xdr:blipFill>
        <a:blip r:embed="rId48"/>
        <a:stretch>
          <a:fillRect/>
        </a:stretch>
      </xdr:blipFill>
      <xdr:spPr>
        <a:xfrm>
          <a:off x="0" y="0"/>
          <a:ext cx="5715000" cy="7620000"/>
        </a:xfrm>
        <a:prstGeom prst="rect">
          <a:avLst/>
        </a:prstGeom>
      </xdr:spPr>
    </xdr:pic>
  </etc:cellImage>
  <etc:cellImage>
    <xdr:pic>
      <xdr:nvPicPr>
        <xdr:cNvPr id="7" name="ID_C07F0F0E8D5C470990597A28887834D2" descr="WF01-AB 01"/>
        <xdr:cNvPicPr/>
      </xdr:nvPicPr>
      <xdr:blipFill>
        <a:blip r:embed="rId6"/>
        <a:stretch>
          <a:fillRect/>
        </a:stretch>
      </xdr:blipFill>
      <xdr:spPr>
        <a:xfrm>
          <a:off x="0" y="0"/>
          <a:ext cx="1619250" cy="1638300"/>
        </a:xfrm>
        <a:prstGeom prst="rect">
          <a:avLst/>
        </a:prstGeom>
      </xdr:spPr>
    </xdr:pic>
  </etc:cellImage>
  <etc:cellImage>
    <xdr:pic>
      <xdr:nvPicPr>
        <xdr:cNvPr id="8" name="ID_DD9EA1A08E8C4488BF3D5A8837C607CF" descr="WF01-CB"/>
        <xdr:cNvPicPr/>
      </xdr:nvPicPr>
      <xdr:blipFill>
        <a:blip r:embed="rId49"/>
        <a:stretch>
          <a:fillRect/>
        </a:stretch>
      </xdr:blipFill>
      <xdr:spPr>
        <a:xfrm>
          <a:off x="0" y="0"/>
          <a:ext cx="5715000" cy="7620000"/>
        </a:xfrm>
        <a:prstGeom prst="rect">
          <a:avLst/>
        </a:prstGeom>
      </xdr:spPr>
    </xdr:pic>
  </etc:cellImage>
  <etc:cellImage>
    <xdr:pic>
      <xdr:nvPicPr>
        <xdr:cNvPr id="9" name="ID_2EC781BA172D4FF99FE9200EF88BB85C" descr="WF01-ER"/>
        <xdr:cNvPicPr/>
      </xdr:nvPicPr>
      <xdr:blipFill>
        <a:blip r:embed="rId50"/>
        <a:stretch>
          <a:fillRect/>
        </a:stretch>
      </xdr:blipFill>
      <xdr:spPr>
        <a:xfrm>
          <a:off x="0" y="0"/>
          <a:ext cx="5715000" cy="7620000"/>
        </a:xfrm>
        <a:prstGeom prst="rect">
          <a:avLst/>
        </a:prstGeom>
      </xdr:spPr>
    </xdr:pic>
  </etc:cellImage>
  <etc:cellImage>
    <xdr:pic>
      <xdr:nvPicPr>
        <xdr:cNvPr id="11" name="ID_AA528AEB109642CB851291505E5983A2" descr="WF01-B 01"/>
        <xdr:cNvPicPr/>
      </xdr:nvPicPr>
      <xdr:blipFill>
        <a:blip r:embed="rId2"/>
        <a:stretch>
          <a:fillRect/>
        </a:stretch>
      </xdr:blipFill>
      <xdr:spPr>
        <a:xfrm>
          <a:off x="0" y="0"/>
          <a:ext cx="1421130" cy="1470025"/>
        </a:xfrm>
        <a:prstGeom prst="rect">
          <a:avLst/>
        </a:prstGeom>
      </xdr:spPr>
    </xdr:pic>
  </etc:cellImage>
  <etc:cellImage>
    <xdr:pic>
      <xdr:nvPicPr>
        <xdr:cNvPr id="12" name="ID_112A01E360384481A3F3A4D8236C6FB4" descr="WF01-CB 01"/>
        <xdr:cNvPicPr/>
      </xdr:nvPicPr>
      <xdr:blipFill>
        <a:blip r:embed="rId44"/>
        <a:stretch>
          <a:fillRect/>
        </a:stretch>
      </xdr:blipFill>
      <xdr:spPr>
        <a:xfrm>
          <a:off x="0" y="0"/>
          <a:ext cx="1628775" cy="1609725"/>
        </a:xfrm>
        <a:prstGeom prst="rect">
          <a:avLst/>
        </a:prstGeom>
      </xdr:spPr>
    </xdr:pic>
  </etc:cellImage>
  <etc:cellImage>
    <xdr:pic>
      <xdr:nvPicPr>
        <xdr:cNvPr id="21" name="ID_2D4E707EC78E46C58A2304D058DD4A61" descr="WF01-BW"/>
        <xdr:cNvPicPr/>
      </xdr:nvPicPr>
      <xdr:blipFill>
        <a:blip r:embed="rId51"/>
        <a:stretch>
          <a:fillRect/>
        </a:stretch>
      </xdr:blipFill>
      <xdr:spPr>
        <a:xfrm>
          <a:off x="0" y="0"/>
          <a:ext cx="5715000" cy="7620000"/>
        </a:xfrm>
        <a:prstGeom prst="rect">
          <a:avLst/>
        </a:prstGeom>
      </xdr:spPr>
    </xdr:pic>
  </etc:cellImage>
  <etc:cellImage>
    <xdr:pic>
      <xdr:nvPicPr>
        <xdr:cNvPr id="23" name="ID_CF1B333C94264FA6B7FFBEDC73367B3F" descr="WF01-BW 01"/>
        <xdr:cNvPicPr/>
      </xdr:nvPicPr>
      <xdr:blipFill>
        <a:blip r:embed="rId52"/>
        <a:stretch>
          <a:fillRect/>
        </a:stretch>
      </xdr:blipFill>
      <xdr:spPr>
        <a:xfrm>
          <a:off x="0" y="0"/>
          <a:ext cx="3063240" cy="3116580"/>
        </a:xfrm>
        <a:prstGeom prst="rect">
          <a:avLst/>
        </a:prstGeom>
      </xdr:spPr>
    </xdr:pic>
  </etc:cellImage>
  <etc:cellImage>
    <xdr:pic>
      <xdr:nvPicPr>
        <xdr:cNvPr id="24" name="ID_DE7645AEF6C546E5BF519CD4159BE668" descr="WF01-CC"/>
        <xdr:cNvPicPr/>
      </xdr:nvPicPr>
      <xdr:blipFill>
        <a:blip r:embed="rId53"/>
        <a:stretch>
          <a:fillRect/>
        </a:stretch>
      </xdr:blipFill>
      <xdr:spPr>
        <a:xfrm>
          <a:off x="0" y="0"/>
          <a:ext cx="5715000" cy="7620000"/>
        </a:xfrm>
        <a:prstGeom prst="rect">
          <a:avLst/>
        </a:prstGeom>
      </xdr:spPr>
    </xdr:pic>
  </etc:cellImage>
  <etc:cellImage>
    <xdr:pic>
      <xdr:nvPicPr>
        <xdr:cNvPr id="25" name="ID_04B25B1976CB4B638F7D4B32987DB93D" descr="WF01-CC 01"/>
        <xdr:cNvPicPr/>
      </xdr:nvPicPr>
      <xdr:blipFill>
        <a:blip r:embed="rId54"/>
        <a:stretch>
          <a:fillRect/>
        </a:stretch>
      </xdr:blipFill>
      <xdr:spPr>
        <a:xfrm>
          <a:off x="0" y="0"/>
          <a:ext cx="1292860" cy="1371600"/>
        </a:xfrm>
        <a:prstGeom prst="rect">
          <a:avLst/>
        </a:prstGeom>
      </xdr:spPr>
    </xdr:pic>
  </etc:cellImage>
  <etc:cellImage>
    <xdr:pic>
      <xdr:nvPicPr>
        <xdr:cNvPr id="26" name="ID_9B65656CFC9A4C2C8DFAF4F383FC5742" descr="WF01-D"/>
        <xdr:cNvPicPr/>
      </xdr:nvPicPr>
      <xdr:blipFill>
        <a:blip r:embed="rId55"/>
        <a:stretch>
          <a:fillRect/>
        </a:stretch>
      </xdr:blipFill>
      <xdr:spPr>
        <a:xfrm>
          <a:off x="0" y="0"/>
          <a:ext cx="5715000" cy="7620000"/>
        </a:xfrm>
        <a:prstGeom prst="rect">
          <a:avLst/>
        </a:prstGeom>
      </xdr:spPr>
    </xdr:pic>
  </etc:cellImage>
  <etc:cellImage>
    <xdr:pic>
      <xdr:nvPicPr>
        <xdr:cNvPr id="27" name="ID_021EFD81FA2B45EA8A36C67B0D594CDD" descr="WF01-D 01"/>
        <xdr:cNvPicPr/>
      </xdr:nvPicPr>
      <xdr:blipFill>
        <a:blip r:embed="rId27"/>
        <a:stretch>
          <a:fillRect/>
        </a:stretch>
      </xdr:blipFill>
      <xdr:spPr>
        <a:xfrm>
          <a:off x="0" y="0"/>
          <a:ext cx="1485900" cy="1428750"/>
        </a:xfrm>
        <a:prstGeom prst="rect">
          <a:avLst/>
        </a:prstGeom>
      </xdr:spPr>
    </xdr:pic>
  </etc:cellImage>
  <etc:cellImage>
    <xdr:pic>
      <xdr:nvPicPr>
        <xdr:cNvPr id="28" name="ID_587EDC2337744AC0A8A448487CF3B4E4" descr="WF01-DG"/>
        <xdr:cNvPicPr/>
      </xdr:nvPicPr>
      <xdr:blipFill>
        <a:blip r:embed="rId56"/>
        <a:stretch>
          <a:fillRect/>
        </a:stretch>
      </xdr:blipFill>
      <xdr:spPr>
        <a:xfrm>
          <a:off x="0" y="0"/>
          <a:ext cx="5715000" cy="7620000"/>
        </a:xfrm>
        <a:prstGeom prst="rect">
          <a:avLst/>
        </a:prstGeom>
      </xdr:spPr>
    </xdr:pic>
  </etc:cellImage>
  <etc:cellImage>
    <xdr:pic>
      <xdr:nvPicPr>
        <xdr:cNvPr id="30" name="ID_5EE21F25C664481FBBF591910284FEE8" descr="WF01-DG 01"/>
        <xdr:cNvPicPr/>
      </xdr:nvPicPr>
      <xdr:blipFill>
        <a:blip r:embed="rId57"/>
        <a:stretch>
          <a:fillRect/>
        </a:stretch>
      </xdr:blipFill>
      <xdr:spPr>
        <a:xfrm>
          <a:off x="0" y="0"/>
          <a:ext cx="3063240" cy="3116580"/>
        </a:xfrm>
        <a:prstGeom prst="rect">
          <a:avLst/>
        </a:prstGeom>
      </xdr:spPr>
    </xdr:pic>
  </etc:cellImage>
  <etc:cellImage>
    <xdr:pic>
      <xdr:nvPicPr>
        <xdr:cNvPr id="46" name="ID_53D4A5CD90274101B4E613F00196172E" descr="WF01-ER 01"/>
        <xdr:cNvPicPr/>
      </xdr:nvPicPr>
      <xdr:blipFill>
        <a:blip r:embed="rId1"/>
        <a:stretch>
          <a:fillRect/>
        </a:stretch>
      </xdr:blipFill>
      <xdr:spPr>
        <a:xfrm>
          <a:off x="0" y="0"/>
          <a:ext cx="1485900" cy="1504950"/>
        </a:xfrm>
        <a:prstGeom prst="rect">
          <a:avLst/>
        </a:prstGeom>
      </xdr:spPr>
    </xdr:pic>
  </etc:cellImage>
  <etc:cellImage>
    <xdr:pic>
      <xdr:nvPicPr>
        <xdr:cNvPr id="50" name="ID_3EE87D35447F44378D3A913D98FD243B" descr="WF01-GN 01"/>
        <xdr:cNvPicPr/>
      </xdr:nvPicPr>
      <xdr:blipFill>
        <a:blip r:embed="rId58"/>
        <a:stretch>
          <a:fillRect/>
        </a:stretch>
      </xdr:blipFill>
      <xdr:spPr>
        <a:xfrm>
          <a:off x="0" y="0"/>
          <a:ext cx="3063240" cy="3116580"/>
        </a:xfrm>
        <a:prstGeom prst="rect">
          <a:avLst/>
        </a:prstGeom>
      </xdr:spPr>
    </xdr:pic>
  </etc:cellImage>
  <etc:cellImage>
    <xdr:pic>
      <xdr:nvPicPr>
        <xdr:cNvPr id="54" name="ID_DC006D00E4A648A1A17031B8497EA0A4" descr="WF01-LB"/>
        <xdr:cNvPicPr/>
      </xdr:nvPicPr>
      <xdr:blipFill>
        <a:blip r:embed="rId59"/>
        <a:stretch>
          <a:fillRect/>
        </a:stretch>
      </xdr:blipFill>
      <xdr:spPr>
        <a:xfrm>
          <a:off x="0" y="0"/>
          <a:ext cx="5715000" cy="7620000"/>
        </a:xfrm>
        <a:prstGeom prst="rect">
          <a:avLst/>
        </a:prstGeom>
      </xdr:spPr>
    </xdr:pic>
  </etc:cellImage>
  <etc:cellImage>
    <xdr:pic>
      <xdr:nvPicPr>
        <xdr:cNvPr id="65" name="ID_4456F94E3F214517B727DEB70DEB9335" descr="WF01-LB 01"/>
        <xdr:cNvPicPr/>
      </xdr:nvPicPr>
      <xdr:blipFill>
        <a:blip r:embed="rId30"/>
        <a:stretch>
          <a:fillRect/>
        </a:stretch>
      </xdr:blipFill>
      <xdr:spPr>
        <a:xfrm>
          <a:off x="0" y="0"/>
          <a:ext cx="1981200" cy="2006600"/>
        </a:xfrm>
        <a:prstGeom prst="rect">
          <a:avLst/>
        </a:prstGeom>
      </xdr:spPr>
    </xdr:pic>
  </etc:cellImage>
  <etc:cellImage>
    <xdr:pic>
      <xdr:nvPicPr>
        <xdr:cNvPr id="88" name="ID_2049C82676EC4500BBD53301A8B5140D" descr="WF01-MM"/>
        <xdr:cNvPicPr/>
      </xdr:nvPicPr>
      <xdr:blipFill>
        <a:blip r:embed="rId60"/>
        <a:stretch>
          <a:fillRect/>
        </a:stretch>
      </xdr:blipFill>
      <xdr:spPr>
        <a:xfrm>
          <a:off x="0" y="0"/>
          <a:ext cx="5715000" cy="7620000"/>
        </a:xfrm>
        <a:prstGeom prst="rect">
          <a:avLst/>
        </a:prstGeom>
      </xdr:spPr>
    </xdr:pic>
  </etc:cellImage>
  <etc:cellImage>
    <xdr:pic>
      <xdr:nvPicPr>
        <xdr:cNvPr id="89" name="ID_7B1842C061FD46499E1C1D8E68BE5EC6" descr="WF01-MM 01"/>
        <xdr:cNvPicPr/>
      </xdr:nvPicPr>
      <xdr:blipFill>
        <a:blip r:embed="rId38"/>
        <a:stretch>
          <a:fillRect/>
        </a:stretch>
      </xdr:blipFill>
      <xdr:spPr>
        <a:xfrm>
          <a:off x="0" y="0"/>
          <a:ext cx="1981200" cy="2006600"/>
        </a:xfrm>
        <a:prstGeom prst="rect">
          <a:avLst/>
        </a:prstGeom>
      </xdr:spPr>
    </xdr:pic>
  </etc:cellImage>
  <etc:cellImage>
    <xdr:pic>
      <xdr:nvPicPr>
        <xdr:cNvPr id="90" name="ID_91D50B9ABD75441392FD60C6F894CA45" descr="WF01-P"/>
        <xdr:cNvPicPr/>
      </xdr:nvPicPr>
      <xdr:blipFill>
        <a:blip r:embed="rId61"/>
        <a:stretch>
          <a:fillRect/>
        </a:stretch>
      </xdr:blipFill>
      <xdr:spPr>
        <a:xfrm>
          <a:off x="0" y="0"/>
          <a:ext cx="5715000" cy="7620000"/>
        </a:xfrm>
        <a:prstGeom prst="rect">
          <a:avLst/>
        </a:prstGeom>
      </xdr:spPr>
    </xdr:pic>
  </etc:cellImage>
  <etc:cellImage>
    <xdr:pic>
      <xdr:nvPicPr>
        <xdr:cNvPr id="91" name="ID_CD15398D548344A4964E5CE4CA25F90A" descr="WF01-P 01"/>
        <xdr:cNvPicPr/>
      </xdr:nvPicPr>
      <xdr:blipFill>
        <a:blip r:embed="rId12"/>
        <a:stretch>
          <a:fillRect/>
        </a:stretch>
      </xdr:blipFill>
      <xdr:spPr>
        <a:xfrm>
          <a:off x="0" y="0"/>
          <a:ext cx="3063240" cy="3116580"/>
        </a:xfrm>
        <a:prstGeom prst="rect">
          <a:avLst/>
        </a:prstGeom>
      </xdr:spPr>
    </xdr:pic>
  </etc:cellImage>
  <etc:cellImage>
    <xdr:pic>
      <xdr:nvPicPr>
        <xdr:cNvPr id="92" name="ID_5F4F4923EAD045DDB013EE6CE7536F82" descr="WF-02 B"/>
        <xdr:cNvPicPr/>
      </xdr:nvPicPr>
      <xdr:blipFill>
        <a:blip r:embed="rId62"/>
        <a:stretch>
          <a:fillRect/>
        </a:stretch>
      </xdr:blipFill>
      <xdr:spPr>
        <a:xfrm>
          <a:off x="0" y="0"/>
          <a:ext cx="7620000" cy="7620000"/>
        </a:xfrm>
        <a:prstGeom prst="rect">
          <a:avLst/>
        </a:prstGeom>
      </xdr:spPr>
    </xdr:pic>
  </etc:cellImage>
  <etc:cellImage>
    <xdr:pic>
      <xdr:nvPicPr>
        <xdr:cNvPr id="93" name="ID_5EC62790267841CA8922503562A43D6B" descr="WF-02 AB"/>
        <xdr:cNvPicPr/>
      </xdr:nvPicPr>
      <xdr:blipFill>
        <a:blip r:embed="rId63"/>
        <a:stretch>
          <a:fillRect/>
        </a:stretch>
      </xdr:blipFill>
      <xdr:spPr>
        <a:xfrm>
          <a:off x="0" y="0"/>
          <a:ext cx="7620000" cy="7620000"/>
        </a:xfrm>
        <a:prstGeom prst="rect">
          <a:avLst/>
        </a:prstGeom>
      </xdr:spPr>
    </xdr:pic>
  </etc:cellImage>
  <etc:cellImage>
    <xdr:pic>
      <xdr:nvPicPr>
        <xdr:cNvPr id="94" name="ID_3C01E72DD1A7479DAC22DD35CDA874DF" descr="WF-02 BW"/>
        <xdr:cNvPicPr/>
      </xdr:nvPicPr>
      <xdr:blipFill>
        <a:blip r:embed="rId64"/>
        <a:stretch>
          <a:fillRect/>
        </a:stretch>
      </xdr:blipFill>
      <xdr:spPr>
        <a:xfrm>
          <a:off x="0" y="0"/>
          <a:ext cx="7620000" cy="7620000"/>
        </a:xfrm>
        <a:prstGeom prst="rect">
          <a:avLst/>
        </a:prstGeom>
      </xdr:spPr>
    </xdr:pic>
  </etc:cellImage>
  <etc:cellImage>
    <xdr:pic>
      <xdr:nvPicPr>
        <xdr:cNvPr id="95" name="ID_3F1FD2772FFE4F849BEB7E1E263616AA" descr="WF-02 CB"/>
        <xdr:cNvPicPr/>
      </xdr:nvPicPr>
      <xdr:blipFill>
        <a:blip r:embed="rId65"/>
        <a:stretch>
          <a:fillRect/>
        </a:stretch>
      </xdr:blipFill>
      <xdr:spPr>
        <a:xfrm>
          <a:off x="0" y="0"/>
          <a:ext cx="7620000" cy="7620000"/>
        </a:xfrm>
        <a:prstGeom prst="rect">
          <a:avLst/>
        </a:prstGeom>
      </xdr:spPr>
    </xdr:pic>
  </etc:cellImage>
  <etc:cellImage>
    <xdr:pic>
      <xdr:nvPicPr>
        <xdr:cNvPr id="96" name="ID_7797570A7C1845EC92C7659F10BC38B8" descr="WF-02 MM"/>
        <xdr:cNvPicPr/>
      </xdr:nvPicPr>
      <xdr:blipFill>
        <a:blip r:embed="rId66"/>
        <a:stretch>
          <a:fillRect/>
        </a:stretch>
      </xdr:blipFill>
      <xdr:spPr>
        <a:xfrm>
          <a:off x="0" y="0"/>
          <a:ext cx="7620000" cy="7620000"/>
        </a:xfrm>
        <a:prstGeom prst="rect">
          <a:avLst/>
        </a:prstGeom>
      </xdr:spPr>
    </xdr:pic>
  </etc:cellImage>
  <etc:cellImage>
    <xdr:pic>
      <xdr:nvPicPr>
        <xdr:cNvPr id="97" name="ID_364EF1C95B00495C9093B7BFC2CBAE57" descr="WF-02 CC"/>
        <xdr:cNvPicPr/>
      </xdr:nvPicPr>
      <xdr:blipFill>
        <a:blip r:embed="rId67"/>
        <a:stretch>
          <a:fillRect/>
        </a:stretch>
      </xdr:blipFill>
      <xdr:spPr>
        <a:xfrm>
          <a:off x="0" y="0"/>
          <a:ext cx="7620000" cy="7620000"/>
        </a:xfrm>
        <a:prstGeom prst="rect">
          <a:avLst/>
        </a:prstGeom>
      </xdr:spPr>
    </xdr:pic>
  </etc:cellImage>
  <etc:cellImage>
    <xdr:pic>
      <xdr:nvPicPr>
        <xdr:cNvPr id="98" name="ID_DA37647EC2924CF6A9083492139F6601" descr="WF-02 D"/>
        <xdr:cNvPicPr/>
      </xdr:nvPicPr>
      <xdr:blipFill>
        <a:blip r:embed="rId68"/>
        <a:stretch>
          <a:fillRect/>
        </a:stretch>
      </xdr:blipFill>
      <xdr:spPr>
        <a:xfrm>
          <a:off x="0" y="0"/>
          <a:ext cx="7620000" cy="7620000"/>
        </a:xfrm>
        <a:prstGeom prst="rect">
          <a:avLst/>
        </a:prstGeom>
      </xdr:spPr>
    </xdr:pic>
  </etc:cellImage>
  <etc:cellImage>
    <xdr:pic>
      <xdr:nvPicPr>
        <xdr:cNvPr id="99" name="ID_83C5FF87ADB24580A66D62DB364602D4" descr="WF-02 DG"/>
        <xdr:cNvPicPr/>
      </xdr:nvPicPr>
      <xdr:blipFill>
        <a:blip r:embed="rId69"/>
        <a:stretch>
          <a:fillRect/>
        </a:stretch>
      </xdr:blipFill>
      <xdr:spPr>
        <a:xfrm>
          <a:off x="0" y="0"/>
          <a:ext cx="7620000" cy="7620000"/>
        </a:xfrm>
        <a:prstGeom prst="rect">
          <a:avLst/>
        </a:prstGeom>
      </xdr:spPr>
    </xdr:pic>
  </etc:cellImage>
  <etc:cellImage>
    <xdr:pic>
      <xdr:nvPicPr>
        <xdr:cNvPr id="100" name="ID_CE5784C68CFE4BECBEA4E09F9ADEC100" descr="WF-02 ER"/>
        <xdr:cNvPicPr/>
      </xdr:nvPicPr>
      <xdr:blipFill>
        <a:blip r:embed="rId70"/>
        <a:stretch>
          <a:fillRect/>
        </a:stretch>
      </xdr:blipFill>
      <xdr:spPr>
        <a:xfrm>
          <a:off x="0" y="0"/>
          <a:ext cx="7620000" cy="7620000"/>
        </a:xfrm>
        <a:prstGeom prst="rect">
          <a:avLst/>
        </a:prstGeom>
      </xdr:spPr>
    </xdr:pic>
  </etc:cellImage>
  <etc:cellImage>
    <xdr:pic>
      <xdr:nvPicPr>
        <xdr:cNvPr id="101" name="ID_ADC3AB8DF96646DEA395603FF73065C9" descr="WF-02 GN"/>
        <xdr:cNvPicPr/>
      </xdr:nvPicPr>
      <xdr:blipFill>
        <a:blip r:embed="rId71"/>
        <a:stretch>
          <a:fillRect/>
        </a:stretch>
      </xdr:blipFill>
      <xdr:spPr>
        <a:xfrm>
          <a:off x="0" y="0"/>
          <a:ext cx="7620000" cy="7620000"/>
        </a:xfrm>
        <a:prstGeom prst="rect">
          <a:avLst/>
        </a:prstGeom>
      </xdr:spPr>
    </xdr:pic>
  </etc:cellImage>
  <etc:cellImage>
    <xdr:pic>
      <xdr:nvPicPr>
        <xdr:cNvPr id="102" name="ID_1EDCE4AF3FDC4A5A8141E35E806A5B4E" descr="WF-02 LB"/>
        <xdr:cNvPicPr/>
      </xdr:nvPicPr>
      <xdr:blipFill>
        <a:blip r:embed="rId72"/>
        <a:stretch>
          <a:fillRect/>
        </a:stretch>
      </xdr:blipFill>
      <xdr:spPr>
        <a:xfrm>
          <a:off x="0" y="0"/>
          <a:ext cx="7620000" cy="7620000"/>
        </a:xfrm>
        <a:prstGeom prst="rect">
          <a:avLst/>
        </a:prstGeom>
      </xdr:spPr>
    </xdr:pic>
  </etc:cellImage>
  <etc:cellImage>
    <xdr:pic>
      <xdr:nvPicPr>
        <xdr:cNvPr id="103" name="ID_AF2460A9D84A4538AA8F3C3C34F3A217" descr="WF-02 P"/>
        <xdr:cNvPicPr/>
      </xdr:nvPicPr>
      <xdr:blipFill>
        <a:blip r:embed="rId73"/>
        <a:stretch>
          <a:fillRect/>
        </a:stretch>
      </xdr:blipFill>
      <xdr:spPr>
        <a:xfrm>
          <a:off x="0" y="0"/>
          <a:ext cx="7620000" cy="7620000"/>
        </a:xfrm>
        <a:prstGeom prst="rect">
          <a:avLst/>
        </a:prstGeom>
      </xdr:spPr>
    </xdr:pic>
  </etc:cellImage>
  <etc:cellImage>
    <xdr:pic>
      <xdr:nvPicPr>
        <xdr:cNvPr id="104" name="ID_154F0C5860F84993BFC6A2CE57C40C05"/>
        <xdr:cNvPicPr>
          <a:picLocks noChangeAspect="1"/>
        </xdr:cNvPicPr>
      </xdr:nvPicPr>
      <xdr:blipFill>
        <a:blip r:embed="rId74"/>
        <a:stretch>
          <a:fillRect/>
        </a:stretch>
      </xdr:blipFill>
      <xdr:spPr>
        <a:xfrm>
          <a:off x="4709160" y="7658100"/>
          <a:ext cx="2148840" cy="3307080"/>
        </a:xfrm>
        <a:prstGeom prst="rect">
          <a:avLst/>
        </a:prstGeom>
        <a:noFill/>
        <a:ln w="9525">
          <a:noFill/>
        </a:ln>
      </xdr:spPr>
    </xdr:pic>
  </etc:cellImage>
  <etc:cellImage>
    <xdr:pic>
      <xdr:nvPicPr>
        <xdr:cNvPr id="105" name="ID_A5A3C42C7A664370BA3DAD0DF3B81966" descr="RG-P"/>
        <xdr:cNvPicPr/>
      </xdr:nvPicPr>
      <xdr:blipFill>
        <a:blip r:embed="rId75"/>
        <a:stretch>
          <a:fillRect/>
        </a:stretch>
      </xdr:blipFill>
      <xdr:spPr>
        <a:xfrm>
          <a:off x="0" y="0"/>
          <a:ext cx="5715000" cy="7620000"/>
        </a:xfrm>
        <a:prstGeom prst="rect">
          <a:avLst/>
        </a:prstGeom>
      </xdr:spPr>
    </xdr:pic>
  </etc:cellImage>
  <etc:cellImage>
    <xdr:pic>
      <xdr:nvPicPr>
        <xdr:cNvPr id="106" name="ID_8931EF2886AC4D2B9B77270DD4E93DFA"/>
        <xdr:cNvPicPr>
          <a:picLocks noChangeAspect="1"/>
        </xdr:cNvPicPr>
      </xdr:nvPicPr>
      <xdr:blipFill>
        <a:blip r:embed="rId76"/>
        <a:stretch>
          <a:fillRect/>
        </a:stretch>
      </xdr:blipFill>
      <xdr:spPr>
        <a:xfrm>
          <a:off x="4937125" y="1510665"/>
          <a:ext cx="3291840" cy="4632960"/>
        </a:xfrm>
        <a:prstGeom prst="rect">
          <a:avLst/>
        </a:prstGeom>
        <a:noFill/>
        <a:ln w="9525">
          <a:noFill/>
        </a:ln>
      </xdr:spPr>
    </xdr:pic>
  </etc:cellImage>
  <etc:cellImage>
    <xdr:pic>
      <xdr:nvPicPr>
        <xdr:cNvPr id="107" name="ID_7CB54A8194D545C9A9BB507A8D321EB6" descr="RG-DC"/>
        <xdr:cNvPicPr/>
      </xdr:nvPicPr>
      <xdr:blipFill>
        <a:blip r:embed="rId77"/>
        <a:stretch>
          <a:fillRect/>
        </a:stretch>
      </xdr:blipFill>
      <xdr:spPr>
        <a:xfrm>
          <a:off x="0" y="0"/>
          <a:ext cx="5715000" cy="7620000"/>
        </a:xfrm>
        <a:prstGeom prst="rect">
          <a:avLst/>
        </a:prstGeom>
      </xdr:spPr>
    </xdr:pic>
  </etc:cellImage>
  <etc:cellImage>
    <xdr:pic>
      <xdr:nvPicPr>
        <xdr:cNvPr id="108" name="ID_D5F50DE3E3FC49929A0D8AAA17B7A670" descr="a5ca9435f13749c9bbc06c1cf87524e1"/>
        <xdr:cNvPicPr/>
      </xdr:nvPicPr>
      <xdr:blipFill>
        <a:blip r:embed="rId78"/>
        <a:stretch>
          <a:fillRect/>
        </a:stretch>
      </xdr:blipFill>
      <xdr:spPr>
        <a:xfrm>
          <a:off x="0" y="0"/>
          <a:ext cx="3352800" cy="5029200"/>
        </a:xfrm>
        <a:prstGeom prst="rect">
          <a:avLst/>
        </a:prstGeom>
      </xdr:spPr>
    </xdr:pic>
  </etc:cellImage>
  <etc:cellImage>
    <xdr:pic>
      <xdr:nvPicPr>
        <xdr:cNvPr id="109" name="ID_9643D91088D3440AB400941C171BAEC3" descr="RG-B"/>
        <xdr:cNvPicPr/>
      </xdr:nvPicPr>
      <xdr:blipFill>
        <a:blip r:embed="rId79"/>
        <a:stretch>
          <a:fillRect/>
        </a:stretch>
      </xdr:blipFill>
      <xdr:spPr>
        <a:xfrm>
          <a:off x="0" y="0"/>
          <a:ext cx="5715000" cy="7620000"/>
        </a:xfrm>
        <a:prstGeom prst="rect">
          <a:avLst/>
        </a:prstGeom>
      </xdr:spPr>
    </xdr:pic>
  </etc:cellImage>
  <etc:cellImage>
    <xdr:pic>
      <xdr:nvPicPr>
        <xdr:cNvPr id="110" name="ID_FE6972EC15E648789564F1A47005DEC8" descr="RG-ER"/>
        <xdr:cNvPicPr/>
      </xdr:nvPicPr>
      <xdr:blipFill>
        <a:blip r:embed="rId80"/>
        <a:stretch>
          <a:fillRect/>
        </a:stretch>
      </xdr:blipFill>
      <xdr:spPr>
        <a:xfrm>
          <a:off x="0" y="0"/>
          <a:ext cx="7543800" cy="10058400"/>
        </a:xfrm>
        <a:prstGeom prst="rect">
          <a:avLst/>
        </a:prstGeom>
      </xdr:spPr>
    </xdr:pic>
  </etc:cellImage>
  <etc:cellImage>
    <xdr:pic>
      <xdr:nvPicPr>
        <xdr:cNvPr id="111" name="ID_648E220923A8463FA0B0D0684563C4B2"/>
        <xdr:cNvPicPr>
          <a:picLocks noChangeAspect="1"/>
        </xdr:cNvPicPr>
      </xdr:nvPicPr>
      <xdr:blipFill>
        <a:blip r:embed="rId81"/>
        <a:stretch>
          <a:fillRect/>
        </a:stretch>
      </xdr:blipFill>
      <xdr:spPr>
        <a:xfrm>
          <a:off x="4955540" y="3663315"/>
          <a:ext cx="1104900" cy="1463040"/>
        </a:xfrm>
        <a:prstGeom prst="rect">
          <a:avLst/>
        </a:prstGeom>
        <a:noFill/>
        <a:ln w="9525">
          <a:noFill/>
        </a:ln>
      </xdr:spPr>
    </xdr:pic>
  </etc:cellImage>
  <etc:cellImage>
    <xdr:pic>
      <xdr:nvPicPr>
        <xdr:cNvPr id="112" name="ID_3751976AFAF448C4ABDF54276364EA25" descr="RG-AB"/>
        <xdr:cNvPicPr/>
      </xdr:nvPicPr>
      <xdr:blipFill>
        <a:blip r:embed="rId82"/>
        <a:stretch>
          <a:fillRect/>
        </a:stretch>
      </xdr:blipFill>
      <xdr:spPr>
        <a:xfrm>
          <a:off x="0" y="0"/>
          <a:ext cx="5715000" cy="7620000"/>
        </a:xfrm>
        <a:prstGeom prst="rect">
          <a:avLst/>
        </a:prstGeom>
      </xdr:spPr>
    </xdr:pic>
  </etc:cellImage>
  <etc:cellImage>
    <xdr:pic>
      <xdr:nvPicPr>
        <xdr:cNvPr id="113" name="ID_FB19474EBEC64728BC87C532CEF6A7A4"/>
        <xdr:cNvPicPr>
          <a:picLocks noChangeAspect="1"/>
        </xdr:cNvPicPr>
      </xdr:nvPicPr>
      <xdr:blipFill>
        <a:blip r:embed="rId83"/>
        <a:stretch>
          <a:fillRect/>
        </a:stretch>
      </xdr:blipFill>
      <xdr:spPr>
        <a:xfrm>
          <a:off x="4709160" y="5591175"/>
          <a:ext cx="2392680" cy="3291840"/>
        </a:xfrm>
        <a:prstGeom prst="rect">
          <a:avLst/>
        </a:prstGeom>
        <a:noFill/>
        <a:ln w="9525">
          <a:noFill/>
        </a:ln>
      </xdr:spPr>
    </xdr:pic>
  </etc:cellImage>
  <etc:cellImage>
    <xdr:pic>
      <xdr:nvPicPr>
        <xdr:cNvPr id="114" name="ID_EEAEE80067DC42169B8EF64711FB9396" descr="RG-DR"/>
        <xdr:cNvPicPr/>
      </xdr:nvPicPr>
      <xdr:blipFill>
        <a:blip r:embed="rId84"/>
        <a:stretch>
          <a:fillRect/>
        </a:stretch>
      </xdr:blipFill>
      <xdr:spPr>
        <a:xfrm>
          <a:off x="0" y="0"/>
          <a:ext cx="7543800" cy="10058400"/>
        </a:xfrm>
        <a:prstGeom prst="rect">
          <a:avLst/>
        </a:prstGeom>
      </xdr:spPr>
    </xdr:pic>
  </etc:cellImage>
  <etc:cellImage>
    <xdr:pic>
      <xdr:nvPicPr>
        <xdr:cNvPr id="115" name="ID_1409A879005148C89C6510C8F26B6C23" descr="pantone-color-chip-489-c"/>
        <xdr:cNvPicPr/>
      </xdr:nvPicPr>
      <xdr:blipFill>
        <a:blip r:embed="rId85"/>
        <a:stretch>
          <a:fillRect/>
        </a:stretch>
      </xdr:blipFill>
      <xdr:spPr>
        <a:xfrm>
          <a:off x="0" y="0"/>
          <a:ext cx="4191000" cy="6286500"/>
        </a:xfrm>
        <a:prstGeom prst="rect">
          <a:avLst/>
        </a:prstGeom>
      </xdr:spPr>
    </xdr:pic>
  </etc:cellImage>
  <etc:cellImage>
    <xdr:pic>
      <xdr:nvPicPr>
        <xdr:cNvPr id="116" name="ID_FE8B7C76F7CB471B9BD30DDD0AD8D026" descr="WP-P"/>
        <xdr:cNvPicPr/>
      </xdr:nvPicPr>
      <xdr:blipFill>
        <a:blip r:embed="rId86"/>
        <a:stretch>
          <a:fillRect/>
        </a:stretch>
      </xdr:blipFill>
      <xdr:spPr>
        <a:xfrm>
          <a:off x="0" y="0"/>
          <a:ext cx="5715000" cy="7620000"/>
        </a:xfrm>
        <a:prstGeom prst="rect">
          <a:avLst/>
        </a:prstGeom>
      </xdr:spPr>
    </xdr:pic>
  </etc:cellImage>
  <etc:cellImage>
    <xdr:pic>
      <xdr:nvPicPr>
        <xdr:cNvPr id="117" name="ID_4132A6218CF44D188411D8A3701E0457" descr="WP-B"/>
        <xdr:cNvPicPr/>
      </xdr:nvPicPr>
      <xdr:blipFill>
        <a:blip r:embed="rId87"/>
        <a:stretch>
          <a:fillRect/>
        </a:stretch>
      </xdr:blipFill>
      <xdr:spPr>
        <a:xfrm>
          <a:off x="0" y="0"/>
          <a:ext cx="5715000" cy="7620000"/>
        </a:xfrm>
        <a:prstGeom prst="rect">
          <a:avLst/>
        </a:prstGeom>
      </xdr:spPr>
    </xdr:pic>
  </etc:cellImage>
  <etc:cellImage>
    <xdr:pic>
      <xdr:nvPicPr>
        <xdr:cNvPr id="118" name="ID_27092A9BC99242F78F1391313BAABBE4" descr="WP-DC"/>
        <xdr:cNvPicPr/>
      </xdr:nvPicPr>
      <xdr:blipFill>
        <a:blip r:embed="rId88"/>
        <a:stretch>
          <a:fillRect/>
        </a:stretch>
      </xdr:blipFill>
      <xdr:spPr>
        <a:xfrm>
          <a:off x="0" y="0"/>
          <a:ext cx="5715000" cy="7620000"/>
        </a:xfrm>
        <a:prstGeom prst="rect">
          <a:avLst/>
        </a:prstGeom>
      </xdr:spPr>
    </xdr:pic>
  </etc:cellImage>
  <etc:cellImage>
    <xdr:pic>
      <xdr:nvPicPr>
        <xdr:cNvPr id="119" name="ID_783E3975C6FB40F189FF1ECC6B850ADC" descr="WP-ER"/>
        <xdr:cNvPicPr/>
      </xdr:nvPicPr>
      <xdr:blipFill>
        <a:blip r:embed="rId89"/>
        <a:stretch>
          <a:fillRect/>
        </a:stretch>
      </xdr:blipFill>
      <xdr:spPr>
        <a:xfrm>
          <a:off x="0" y="0"/>
          <a:ext cx="5715000" cy="7620000"/>
        </a:xfrm>
        <a:prstGeom prst="rect">
          <a:avLst/>
        </a:prstGeom>
      </xdr:spPr>
    </xdr:pic>
  </etc:cellImage>
  <etc:cellImage>
    <xdr:pic>
      <xdr:nvPicPr>
        <xdr:cNvPr id="120" name="ID_E8A19050D986477AAC4D9DB50C28DF35" descr="WP-AB"/>
        <xdr:cNvPicPr/>
      </xdr:nvPicPr>
      <xdr:blipFill>
        <a:blip r:embed="rId90"/>
        <a:stretch>
          <a:fillRect/>
        </a:stretch>
      </xdr:blipFill>
      <xdr:spPr>
        <a:xfrm>
          <a:off x="0" y="0"/>
          <a:ext cx="5715000" cy="7620000"/>
        </a:xfrm>
        <a:prstGeom prst="rect">
          <a:avLst/>
        </a:prstGeom>
      </xdr:spPr>
    </xdr:pic>
  </etc:cellImage>
  <etc:cellImage>
    <xdr:pic>
      <xdr:nvPicPr>
        <xdr:cNvPr id="121" name="ID_083D33B27F354BE58BA0027CD61980D7" descr="WP-DR"/>
        <xdr:cNvPicPr/>
      </xdr:nvPicPr>
      <xdr:blipFill>
        <a:blip r:embed="rId91"/>
        <a:stretch>
          <a:fillRect/>
        </a:stretch>
      </xdr:blipFill>
      <xdr:spPr>
        <a:xfrm>
          <a:off x="0" y="0"/>
          <a:ext cx="5715000" cy="7620000"/>
        </a:xfrm>
        <a:prstGeom prst="rect">
          <a:avLst/>
        </a:prstGeom>
      </xdr:spPr>
    </xdr:pic>
  </etc:cellImage>
  <etc:cellImage>
    <xdr:pic>
      <xdr:nvPicPr>
        <xdr:cNvPr id="122" name="ID_922D1C9B229D44E5A239DFCC8FC49777" descr="ER"/>
        <xdr:cNvPicPr/>
      </xdr:nvPicPr>
      <xdr:blipFill>
        <a:blip r:embed="rId92"/>
        <a:stretch>
          <a:fillRect/>
        </a:stretch>
      </xdr:blipFill>
      <xdr:spPr>
        <a:xfrm>
          <a:off x="0" y="0"/>
          <a:ext cx="5715000" cy="7620000"/>
        </a:xfrm>
        <a:prstGeom prst="rect">
          <a:avLst/>
        </a:prstGeom>
      </xdr:spPr>
    </xdr:pic>
  </etc:cellImage>
  <etc:cellImage>
    <xdr:pic>
      <xdr:nvPicPr>
        <xdr:cNvPr id="123" name="ID_4042FB64602E4283B342DCD2DD1351EC" descr="B"/>
        <xdr:cNvPicPr/>
      </xdr:nvPicPr>
      <xdr:blipFill>
        <a:blip r:embed="rId93"/>
        <a:stretch>
          <a:fillRect/>
        </a:stretch>
      </xdr:blipFill>
      <xdr:spPr>
        <a:xfrm>
          <a:off x="0" y="0"/>
          <a:ext cx="5715000" cy="7620000"/>
        </a:xfrm>
        <a:prstGeom prst="rect">
          <a:avLst/>
        </a:prstGeom>
      </xdr:spPr>
    </xdr:pic>
  </etc:cellImage>
  <etc:cellImage>
    <xdr:pic>
      <xdr:nvPicPr>
        <xdr:cNvPr id="124" name="ID_5B3270D0598E43169D81B67B5D318EC0" descr="P"/>
        <xdr:cNvPicPr/>
      </xdr:nvPicPr>
      <xdr:blipFill>
        <a:blip r:embed="rId94"/>
        <a:stretch>
          <a:fillRect/>
        </a:stretch>
      </xdr:blipFill>
      <xdr:spPr>
        <a:xfrm>
          <a:off x="0" y="0"/>
          <a:ext cx="5715000" cy="7620000"/>
        </a:xfrm>
        <a:prstGeom prst="rect">
          <a:avLst/>
        </a:prstGeom>
      </xdr:spPr>
    </xdr:pic>
  </etc:cellImage>
  <etc:cellImage>
    <xdr:pic>
      <xdr:nvPicPr>
        <xdr:cNvPr id="125" name="ID_E20FFD25DC1A45CA8C7801AFA9907B68" descr="DC"/>
        <xdr:cNvPicPr/>
      </xdr:nvPicPr>
      <xdr:blipFill>
        <a:blip r:embed="rId95"/>
        <a:stretch>
          <a:fillRect/>
        </a:stretch>
      </xdr:blipFill>
      <xdr:spPr>
        <a:xfrm>
          <a:off x="0" y="0"/>
          <a:ext cx="7620000" cy="7620000"/>
        </a:xfrm>
        <a:prstGeom prst="rect">
          <a:avLst/>
        </a:prstGeom>
      </xdr:spPr>
    </xdr:pic>
  </etc:cellImage>
  <etc:cellImage>
    <xdr:pic>
      <xdr:nvPicPr>
        <xdr:cNvPr id="126" name="ID_0BCE025C51A849BF96257C3BDFB7030A" descr="AB"/>
        <xdr:cNvPicPr/>
      </xdr:nvPicPr>
      <xdr:blipFill>
        <a:blip r:embed="rId96"/>
        <a:stretch>
          <a:fillRect/>
        </a:stretch>
      </xdr:blipFill>
      <xdr:spPr>
        <a:xfrm>
          <a:off x="0" y="0"/>
          <a:ext cx="7620000" cy="7620000"/>
        </a:xfrm>
        <a:prstGeom prst="rect">
          <a:avLst/>
        </a:prstGeom>
      </xdr:spPr>
    </xdr:pic>
  </etc:cellImage>
  <etc:cellImage>
    <xdr:pic>
      <xdr:nvPicPr>
        <xdr:cNvPr id="127" name="ID_FC8209F36C404D50AFA672488BB503F6" descr="DR"/>
        <xdr:cNvPicPr/>
      </xdr:nvPicPr>
      <xdr:blipFill>
        <a:blip r:embed="rId97"/>
        <a:stretch>
          <a:fillRect/>
        </a:stretch>
      </xdr:blipFill>
      <xdr:spPr>
        <a:xfrm>
          <a:off x="0" y="0"/>
          <a:ext cx="7620000" cy="7620000"/>
        </a:xfrm>
        <a:prstGeom prst="rect">
          <a:avLst/>
        </a:prstGeom>
      </xdr:spPr>
    </xdr:pic>
  </etc:cellImage>
  <etc:cellImage>
    <xdr:pic>
      <xdr:nvPicPr>
        <xdr:cNvPr id="128" name="ID_8ED454E7D3BC4825BEDC4BBBBDC804F4" descr="NJ-TS-CL-SS25-AB"/>
        <xdr:cNvPicPr/>
      </xdr:nvPicPr>
      <xdr:blipFill>
        <a:blip r:embed="rId98"/>
        <a:stretch>
          <a:fillRect/>
        </a:stretch>
      </xdr:blipFill>
      <xdr:spPr>
        <a:xfrm>
          <a:off x="0" y="0"/>
          <a:ext cx="5715000" cy="7620000"/>
        </a:xfrm>
        <a:prstGeom prst="rect">
          <a:avLst/>
        </a:prstGeom>
      </xdr:spPr>
    </xdr:pic>
  </etc:cellImage>
  <etc:cellImage>
    <xdr:pic>
      <xdr:nvPicPr>
        <xdr:cNvPr id="129" name="ID_EEBEF75F856B4DD0AD7D655D2C84BF42" descr="NJ-TS-CL-SS25-B"/>
        <xdr:cNvPicPr/>
      </xdr:nvPicPr>
      <xdr:blipFill>
        <a:blip r:embed="rId99"/>
        <a:stretch>
          <a:fillRect/>
        </a:stretch>
      </xdr:blipFill>
      <xdr:spPr>
        <a:xfrm>
          <a:off x="0" y="0"/>
          <a:ext cx="5715000" cy="7620000"/>
        </a:xfrm>
        <a:prstGeom prst="rect">
          <a:avLst/>
        </a:prstGeom>
      </xdr:spPr>
    </xdr:pic>
  </etc:cellImage>
  <etc:cellImage>
    <xdr:pic>
      <xdr:nvPicPr>
        <xdr:cNvPr id="130" name="ID_E4658F0FE47E4F8E8FA897B310677616" descr="NJ-TS-CL-SS25-P"/>
        <xdr:cNvPicPr/>
      </xdr:nvPicPr>
      <xdr:blipFill>
        <a:blip r:embed="rId100"/>
        <a:stretch>
          <a:fillRect/>
        </a:stretch>
      </xdr:blipFill>
      <xdr:spPr>
        <a:xfrm>
          <a:off x="0" y="0"/>
          <a:ext cx="5715000" cy="7620000"/>
        </a:xfrm>
        <a:prstGeom prst="rect">
          <a:avLst/>
        </a:prstGeom>
      </xdr:spPr>
    </xdr:pic>
  </etc:cellImage>
  <etc:cellImage>
    <xdr:pic>
      <xdr:nvPicPr>
        <xdr:cNvPr id="131" name="ID_77D0E282C36B4CC892382579E2676E4B" descr="NJ-TS-CL-SS25-ER"/>
        <xdr:cNvPicPr/>
      </xdr:nvPicPr>
      <xdr:blipFill>
        <a:blip r:embed="rId101"/>
        <a:stretch>
          <a:fillRect/>
        </a:stretch>
      </xdr:blipFill>
      <xdr:spPr>
        <a:xfrm>
          <a:off x="0" y="0"/>
          <a:ext cx="5715000" cy="7620000"/>
        </a:xfrm>
        <a:prstGeom prst="rect">
          <a:avLst/>
        </a:prstGeom>
      </xdr:spPr>
    </xdr:pic>
  </etc:cellImage>
  <etc:cellImage>
    <xdr:pic>
      <xdr:nvPicPr>
        <xdr:cNvPr id="132" name="ID_8F380A1AC5504443BC46A8ABA2178AB0" descr="NSSS-P 01"/>
        <xdr:cNvPicPr/>
      </xdr:nvPicPr>
      <xdr:blipFill>
        <a:blip r:embed="rId12"/>
        <a:stretch>
          <a:fillRect/>
        </a:stretch>
      </xdr:blipFill>
      <xdr:spPr>
        <a:xfrm>
          <a:off x="0" y="0"/>
          <a:ext cx="3063240" cy="3116580"/>
        </a:xfrm>
        <a:prstGeom prst="rect">
          <a:avLst/>
        </a:prstGeom>
      </xdr:spPr>
    </xdr:pic>
  </etc:cellImage>
  <etc:cellImage>
    <xdr:pic>
      <xdr:nvPicPr>
        <xdr:cNvPr id="133" name="ID_754BB11F836F4A34856A81E849224154" descr="NJ-TS-CL-SS25-W"/>
        <xdr:cNvPicPr/>
      </xdr:nvPicPr>
      <xdr:blipFill>
        <a:blip r:embed="rId102"/>
        <a:stretch>
          <a:fillRect/>
        </a:stretch>
      </xdr:blipFill>
      <xdr:spPr>
        <a:xfrm>
          <a:off x="0" y="0"/>
          <a:ext cx="6858000" cy="7620000"/>
        </a:xfrm>
        <a:prstGeom prst="rect">
          <a:avLst/>
        </a:prstGeom>
      </xdr:spPr>
    </xdr:pic>
  </etc:cellImage>
  <etc:cellImage>
    <xdr:pic>
      <xdr:nvPicPr>
        <xdr:cNvPr id="134" name="ID_D8C7A552103749CE986AE2D9B116CB71" descr="NSSS-W 01"/>
        <xdr:cNvPicPr/>
      </xdr:nvPicPr>
      <xdr:blipFill>
        <a:blip r:embed="rId14"/>
        <a:stretch>
          <a:fillRect/>
        </a:stretch>
      </xdr:blipFill>
      <xdr:spPr>
        <a:xfrm>
          <a:off x="0" y="0"/>
          <a:ext cx="1981200" cy="2006600"/>
        </a:xfrm>
        <a:prstGeom prst="rect">
          <a:avLst/>
        </a:prstGeom>
      </xdr:spPr>
    </xdr:pic>
  </etc:cellImage>
  <etc:cellImage>
    <xdr:pic>
      <xdr:nvPicPr>
        <xdr:cNvPr id="135" name="ID_FE5C2350ACD34BC1ABA91EE5ED0EB87F" descr="NJ-TS-CS-SS25-B"/>
        <xdr:cNvPicPr/>
      </xdr:nvPicPr>
      <xdr:blipFill>
        <a:blip r:embed="rId103"/>
        <a:stretch>
          <a:fillRect/>
        </a:stretch>
      </xdr:blipFill>
      <xdr:spPr>
        <a:xfrm>
          <a:off x="0" y="0"/>
          <a:ext cx="7620000" cy="7620000"/>
        </a:xfrm>
        <a:prstGeom prst="rect">
          <a:avLst/>
        </a:prstGeom>
      </xdr:spPr>
    </xdr:pic>
  </etc:cellImage>
  <etc:cellImage>
    <xdr:pic>
      <xdr:nvPicPr>
        <xdr:cNvPr id="136" name="ID_50D8B024455F4A9481DF02DFB92266EA" descr="NJ-TS-CS-SS25-AB"/>
        <xdr:cNvPicPr/>
      </xdr:nvPicPr>
      <xdr:blipFill>
        <a:blip r:embed="rId104"/>
        <a:stretch>
          <a:fillRect/>
        </a:stretch>
      </xdr:blipFill>
      <xdr:spPr>
        <a:xfrm>
          <a:off x="0" y="0"/>
          <a:ext cx="7620000" cy="7620000"/>
        </a:xfrm>
        <a:prstGeom prst="rect">
          <a:avLst/>
        </a:prstGeom>
      </xdr:spPr>
    </xdr:pic>
  </etc:cellImage>
  <etc:cellImage>
    <xdr:pic>
      <xdr:nvPicPr>
        <xdr:cNvPr id="137" name="ID_1333108F0DE2430D81571FEEE31C0870" descr="NJ-TS-CS-SS25-ER"/>
        <xdr:cNvPicPr/>
      </xdr:nvPicPr>
      <xdr:blipFill>
        <a:blip r:embed="rId105"/>
        <a:stretch>
          <a:fillRect/>
        </a:stretch>
      </xdr:blipFill>
      <xdr:spPr>
        <a:xfrm>
          <a:off x="0" y="0"/>
          <a:ext cx="6858000" cy="7620000"/>
        </a:xfrm>
        <a:prstGeom prst="rect">
          <a:avLst/>
        </a:prstGeom>
      </xdr:spPr>
    </xdr:pic>
  </etc:cellImage>
  <etc:cellImage>
    <xdr:pic>
      <xdr:nvPicPr>
        <xdr:cNvPr id="138" name="ID_DEA1D1B15C5D4A669BD2A9FA9D9373C7" descr="NJ-TS-CS-SS25-P"/>
        <xdr:cNvPicPr/>
      </xdr:nvPicPr>
      <xdr:blipFill>
        <a:blip r:embed="rId106"/>
        <a:stretch>
          <a:fillRect/>
        </a:stretch>
      </xdr:blipFill>
      <xdr:spPr>
        <a:xfrm>
          <a:off x="0" y="0"/>
          <a:ext cx="6858000" cy="7620000"/>
        </a:xfrm>
        <a:prstGeom prst="rect">
          <a:avLst/>
        </a:prstGeom>
      </xdr:spPr>
    </xdr:pic>
  </etc:cellImage>
  <etc:cellImage>
    <xdr:pic>
      <xdr:nvPicPr>
        <xdr:cNvPr id="139" name="ID_DD2AC681095944C49859DC0FE8033712" descr="NJ-TS-CS-SS25-W"/>
        <xdr:cNvPicPr/>
      </xdr:nvPicPr>
      <xdr:blipFill>
        <a:blip r:embed="rId107"/>
        <a:stretch>
          <a:fillRect/>
        </a:stretch>
      </xdr:blipFill>
      <xdr:spPr>
        <a:xfrm>
          <a:off x="0" y="0"/>
          <a:ext cx="5715000" cy="7620000"/>
        </a:xfrm>
        <a:prstGeom prst="rect">
          <a:avLst/>
        </a:prstGeom>
      </xdr:spPr>
    </xdr:pic>
  </etc:cellImage>
  <etc:cellImage>
    <xdr:pic>
      <xdr:nvPicPr>
        <xdr:cNvPr id="140" name="ID_0293475F78A04F828AECCBA67FFF0ED6" descr="NSSS-W 01"/>
        <xdr:cNvPicPr/>
      </xdr:nvPicPr>
      <xdr:blipFill>
        <a:blip r:embed="rId14"/>
        <a:stretch>
          <a:fillRect/>
        </a:stretch>
      </xdr:blipFill>
      <xdr:spPr>
        <a:xfrm>
          <a:off x="0" y="0"/>
          <a:ext cx="1981200" cy="2006600"/>
        </a:xfrm>
        <a:prstGeom prst="rect">
          <a:avLst/>
        </a:prstGeom>
      </xdr:spPr>
    </xdr:pic>
  </etc:cellImage>
  <etc:cellImage>
    <xdr:pic>
      <xdr:nvPicPr>
        <xdr:cNvPr id="141" name="ID_BD17E93505EF4101BE52790D91703AA6" descr="NSSS-W 01"/>
        <xdr:cNvPicPr/>
      </xdr:nvPicPr>
      <xdr:blipFill>
        <a:blip r:embed="rId14"/>
        <a:stretch>
          <a:fillRect/>
        </a:stretch>
      </xdr:blipFill>
      <xdr:spPr>
        <a:xfrm>
          <a:off x="0" y="0"/>
          <a:ext cx="1981200" cy="2006600"/>
        </a:xfrm>
        <a:prstGeom prst="rect">
          <a:avLst/>
        </a:prstGeom>
      </xdr:spPr>
    </xdr:pic>
  </etc:cellImage>
  <etc:cellImage>
    <xdr:pic>
      <xdr:nvPicPr>
        <xdr:cNvPr id="142" name="ID_C484E533D0A64BD0AED7C3A6E2B62C13" descr="NJ-TS-SL-SS25-P"/>
        <xdr:cNvPicPr/>
      </xdr:nvPicPr>
      <xdr:blipFill>
        <a:blip r:embed="rId108"/>
        <a:stretch>
          <a:fillRect/>
        </a:stretch>
      </xdr:blipFill>
      <xdr:spPr>
        <a:xfrm>
          <a:off x="0" y="0"/>
          <a:ext cx="5715000" cy="7620000"/>
        </a:xfrm>
        <a:prstGeom prst="rect">
          <a:avLst/>
        </a:prstGeom>
      </xdr:spPr>
    </xdr:pic>
  </etc:cellImage>
  <etc:cellImage>
    <xdr:pic>
      <xdr:nvPicPr>
        <xdr:cNvPr id="143" name="ID_04E16A16E29D4D328CC3E61C1E96CC70" descr="NJ-TS-SL-SS25-AB"/>
        <xdr:cNvPicPr/>
      </xdr:nvPicPr>
      <xdr:blipFill>
        <a:blip r:embed="rId109"/>
        <a:stretch>
          <a:fillRect/>
        </a:stretch>
      </xdr:blipFill>
      <xdr:spPr>
        <a:xfrm>
          <a:off x="0" y="0"/>
          <a:ext cx="5715000" cy="7620000"/>
        </a:xfrm>
        <a:prstGeom prst="rect">
          <a:avLst/>
        </a:prstGeom>
      </xdr:spPr>
    </xdr:pic>
  </etc:cellImage>
  <etc:cellImage>
    <xdr:pic>
      <xdr:nvPicPr>
        <xdr:cNvPr id="144" name="ID_8890DD7EDE1246E6A4D7519F1463056A" descr="NJ-TS-SL-SS25-ER"/>
        <xdr:cNvPicPr/>
      </xdr:nvPicPr>
      <xdr:blipFill>
        <a:blip r:embed="rId110"/>
        <a:stretch>
          <a:fillRect/>
        </a:stretch>
      </xdr:blipFill>
      <xdr:spPr>
        <a:xfrm>
          <a:off x="0" y="0"/>
          <a:ext cx="6477000" cy="7620000"/>
        </a:xfrm>
        <a:prstGeom prst="rect">
          <a:avLst/>
        </a:prstGeom>
      </xdr:spPr>
    </xdr:pic>
  </etc:cellImage>
  <etc:cellImage>
    <xdr:pic>
      <xdr:nvPicPr>
        <xdr:cNvPr id="145" name="ID_D68D0A9A821E4C52B9B897A198D530C1" descr="NJ-TS-SL-SS25-B"/>
        <xdr:cNvPicPr/>
      </xdr:nvPicPr>
      <xdr:blipFill>
        <a:blip r:embed="rId111"/>
        <a:stretch>
          <a:fillRect/>
        </a:stretch>
      </xdr:blipFill>
      <xdr:spPr>
        <a:xfrm>
          <a:off x="0" y="0"/>
          <a:ext cx="5715000" cy="7620000"/>
        </a:xfrm>
        <a:prstGeom prst="rect">
          <a:avLst/>
        </a:prstGeom>
      </xdr:spPr>
    </xdr:pic>
  </etc:cellImage>
  <etc:cellImage>
    <xdr:pic>
      <xdr:nvPicPr>
        <xdr:cNvPr id="146" name="ID_53E59918E7914F46B8C195DC8E21C72B" descr="NJ-TS-SL-SS25-W"/>
        <xdr:cNvPicPr/>
      </xdr:nvPicPr>
      <xdr:blipFill>
        <a:blip r:embed="rId112"/>
        <a:stretch>
          <a:fillRect/>
        </a:stretch>
      </xdr:blipFill>
      <xdr:spPr>
        <a:xfrm>
          <a:off x="0" y="0"/>
          <a:ext cx="5715000" cy="7620000"/>
        </a:xfrm>
        <a:prstGeom prst="rect">
          <a:avLst/>
        </a:prstGeom>
      </xdr:spPr>
    </xdr:pic>
  </etc:cellImage>
  <etc:cellImage>
    <xdr:pic>
      <xdr:nvPicPr>
        <xdr:cNvPr id="147" name="ID_080FF3508D3C48BF929C110B58A4A3BA" descr="NJ-TS-TT-SS25-B"/>
        <xdr:cNvPicPr/>
      </xdr:nvPicPr>
      <xdr:blipFill>
        <a:blip r:embed="rId113"/>
        <a:stretch>
          <a:fillRect/>
        </a:stretch>
      </xdr:blipFill>
      <xdr:spPr>
        <a:xfrm>
          <a:off x="0" y="0"/>
          <a:ext cx="6858000" cy="7620000"/>
        </a:xfrm>
        <a:prstGeom prst="rect">
          <a:avLst/>
        </a:prstGeom>
      </xdr:spPr>
    </xdr:pic>
  </etc:cellImage>
  <etc:cellImage>
    <xdr:pic>
      <xdr:nvPicPr>
        <xdr:cNvPr id="148" name="ID_91CC761231F549EF9D3D8886ECE6A24E" descr="NJ-TS-TT-SS25-AB"/>
        <xdr:cNvPicPr/>
      </xdr:nvPicPr>
      <xdr:blipFill>
        <a:blip r:embed="rId114"/>
        <a:stretch>
          <a:fillRect/>
        </a:stretch>
      </xdr:blipFill>
      <xdr:spPr>
        <a:xfrm>
          <a:off x="0" y="0"/>
          <a:ext cx="5715000" cy="7620000"/>
        </a:xfrm>
        <a:prstGeom prst="rect">
          <a:avLst/>
        </a:prstGeom>
      </xdr:spPr>
    </xdr:pic>
  </etc:cellImage>
  <etc:cellImage>
    <xdr:pic>
      <xdr:nvPicPr>
        <xdr:cNvPr id="149" name="ID_EE43D28474EF4A47B9B1C88543ABA80E" descr="NJ-TS-TT-SS25-ER"/>
        <xdr:cNvPicPr/>
      </xdr:nvPicPr>
      <xdr:blipFill>
        <a:blip r:embed="rId115"/>
        <a:stretch>
          <a:fillRect/>
        </a:stretch>
      </xdr:blipFill>
      <xdr:spPr>
        <a:xfrm>
          <a:off x="0" y="0"/>
          <a:ext cx="5715000" cy="7620000"/>
        </a:xfrm>
        <a:prstGeom prst="rect">
          <a:avLst/>
        </a:prstGeom>
      </xdr:spPr>
    </xdr:pic>
  </etc:cellImage>
  <etc:cellImage>
    <xdr:pic>
      <xdr:nvPicPr>
        <xdr:cNvPr id="150" name="ID_92D235D8CF4B4099962D027830201168" descr="NJ-TS-TT-SS25-P"/>
        <xdr:cNvPicPr/>
      </xdr:nvPicPr>
      <xdr:blipFill>
        <a:blip r:embed="rId116"/>
        <a:stretch>
          <a:fillRect/>
        </a:stretch>
      </xdr:blipFill>
      <xdr:spPr>
        <a:xfrm>
          <a:off x="0" y="0"/>
          <a:ext cx="5715000" cy="7620000"/>
        </a:xfrm>
        <a:prstGeom prst="rect">
          <a:avLst/>
        </a:prstGeom>
      </xdr:spPr>
    </xdr:pic>
  </etc:cellImage>
  <etc:cellImage>
    <xdr:pic>
      <xdr:nvPicPr>
        <xdr:cNvPr id="151" name="ID_9600B6F00AAC41D2B3FD017A36087A3D" descr="NJ-TS-TT-SS25-W"/>
        <xdr:cNvPicPr/>
      </xdr:nvPicPr>
      <xdr:blipFill>
        <a:blip r:embed="rId117"/>
        <a:stretch>
          <a:fillRect/>
        </a:stretch>
      </xdr:blipFill>
      <xdr:spPr>
        <a:xfrm>
          <a:off x="0" y="0"/>
          <a:ext cx="5715000" cy="7620000"/>
        </a:xfrm>
        <a:prstGeom prst="rect">
          <a:avLst/>
        </a:prstGeom>
      </xdr:spPr>
    </xdr:pic>
  </etc:cellImage>
  <etc:cellImage>
    <xdr:pic>
      <xdr:nvPicPr>
        <xdr:cNvPr id="152" name="ID_B8466FECBC974E578F548CA1690EF2C6" descr="NSSS-W 01"/>
        <xdr:cNvPicPr/>
      </xdr:nvPicPr>
      <xdr:blipFill>
        <a:blip r:embed="rId14"/>
        <a:stretch>
          <a:fillRect/>
        </a:stretch>
      </xdr:blipFill>
      <xdr:spPr>
        <a:xfrm>
          <a:off x="0" y="0"/>
          <a:ext cx="1981200" cy="2006600"/>
        </a:xfrm>
        <a:prstGeom prst="rect">
          <a:avLst/>
        </a:prstGeom>
      </xdr:spPr>
    </xdr:pic>
  </etc:cellImage>
  <etc:cellImage>
    <xdr:pic>
      <xdr:nvPicPr>
        <xdr:cNvPr id="153" name="ID_50C043D3084E4FECB053219BFA919DE8" descr="NJ-SL-JS-SS25-B"/>
        <xdr:cNvPicPr/>
      </xdr:nvPicPr>
      <xdr:blipFill>
        <a:blip r:embed="rId118"/>
        <a:stretch>
          <a:fillRect/>
        </a:stretch>
      </xdr:blipFill>
      <xdr:spPr>
        <a:xfrm>
          <a:off x="0" y="0"/>
          <a:ext cx="5715000" cy="7620000"/>
        </a:xfrm>
        <a:prstGeom prst="rect">
          <a:avLst/>
        </a:prstGeom>
      </xdr:spPr>
    </xdr:pic>
  </etc:cellImage>
  <etc:cellImage>
    <xdr:pic>
      <xdr:nvPicPr>
        <xdr:cNvPr id="154" name="ID_FA15250DDB4B48269723438797230D7C" descr="NJ-SL-JS-SS25-W"/>
        <xdr:cNvPicPr/>
      </xdr:nvPicPr>
      <xdr:blipFill>
        <a:blip r:embed="rId119"/>
        <a:stretch>
          <a:fillRect/>
        </a:stretch>
      </xdr:blipFill>
      <xdr:spPr>
        <a:xfrm>
          <a:off x="0" y="0"/>
          <a:ext cx="5715000" cy="7620000"/>
        </a:xfrm>
        <a:prstGeom prst="rect">
          <a:avLst/>
        </a:prstGeom>
      </xdr:spPr>
    </xdr:pic>
  </etc:cellImage>
  <etc:cellImage>
    <xdr:pic>
      <xdr:nvPicPr>
        <xdr:cNvPr id="155" name="ID_E75EEC8280EF41E8BBB958B6039DC769" descr="LLSS-W 01"/>
        <xdr:cNvPicPr/>
      </xdr:nvPicPr>
      <xdr:blipFill>
        <a:blip r:embed="rId14"/>
        <a:stretch>
          <a:fillRect/>
        </a:stretch>
      </xdr:blipFill>
      <xdr:spPr>
        <a:xfrm>
          <a:off x="0" y="0"/>
          <a:ext cx="1981200" cy="2006600"/>
        </a:xfrm>
        <a:prstGeom prst="rect">
          <a:avLst/>
        </a:prstGeom>
      </xdr:spPr>
    </xdr:pic>
  </etc:cellImage>
  <etc:cellImage>
    <xdr:pic>
      <xdr:nvPicPr>
        <xdr:cNvPr id="156" name="ID_EDE254AACCB14A54BE4E671146A61B86" descr="LLSS-B 01"/>
        <xdr:cNvPicPr/>
      </xdr:nvPicPr>
      <xdr:blipFill>
        <a:blip r:embed="rId2"/>
        <a:stretch>
          <a:fillRect/>
        </a:stretch>
      </xdr:blipFill>
      <xdr:spPr>
        <a:xfrm>
          <a:off x="0" y="0"/>
          <a:ext cx="1421130" cy="1470025"/>
        </a:xfrm>
        <a:prstGeom prst="rect">
          <a:avLst/>
        </a:prstGeom>
      </xdr:spPr>
    </xdr:pic>
  </etc:cellImage>
  <etc:cellImage>
    <xdr:pic>
      <xdr:nvPicPr>
        <xdr:cNvPr id="157" name="ID_B43A2C0F0FC749A49A9474C92F3E8130" descr="397aaaec6e3540f391a847061f2a315f"/>
        <xdr:cNvPicPr/>
      </xdr:nvPicPr>
      <xdr:blipFill>
        <a:blip r:embed="rId120"/>
        <a:stretch>
          <a:fillRect/>
        </a:stretch>
      </xdr:blipFill>
      <xdr:spPr>
        <a:xfrm>
          <a:off x="0" y="0"/>
          <a:ext cx="5715000" cy="7620000"/>
        </a:xfrm>
        <a:prstGeom prst="rect">
          <a:avLst/>
        </a:prstGeom>
      </xdr:spPr>
    </xdr:pic>
  </etc:cellImage>
  <etc:cellImage>
    <xdr:pic>
      <xdr:nvPicPr>
        <xdr:cNvPr id="158" name="ID_8D3A0F2B9EC44DBE8DDD69A2E4B7DEC6" descr="cefc4fff90654073be95b90bebb2623e"/>
        <xdr:cNvPicPr/>
      </xdr:nvPicPr>
      <xdr:blipFill>
        <a:blip r:embed="rId121"/>
        <a:stretch>
          <a:fillRect/>
        </a:stretch>
      </xdr:blipFill>
      <xdr:spPr>
        <a:xfrm>
          <a:off x="0" y="0"/>
          <a:ext cx="5715000" cy="7620000"/>
        </a:xfrm>
        <a:prstGeom prst="rect">
          <a:avLst/>
        </a:prstGeom>
      </xdr:spPr>
    </xdr:pic>
  </etc:cellImage>
  <etc:cellImage>
    <xdr:pic>
      <xdr:nvPicPr>
        <xdr:cNvPr id="159" name="ID_4D41510DD4584CFB9C98C49301C21D96" descr="LLSS-P 01"/>
        <xdr:cNvPicPr/>
      </xdr:nvPicPr>
      <xdr:blipFill>
        <a:blip r:embed="rId12"/>
        <a:stretch>
          <a:fillRect/>
        </a:stretch>
      </xdr:blipFill>
      <xdr:spPr>
        <a:xfrm>
          <a:off x="0" y="0"/>
          <a:ext cx="3063240" cy="3116580"/>
        </a:xfrm>
        <a:prstGeom prst="rect">
          <a:avLst/>
        </a:prstGeom>
      </xdr:spPr>
    </xdr:pic>
  </etc:cellImage>
  <etc:cellImage>
    <xdr:pic>
      <xdr:nvPicPr>
        <xdr:cNvPr id="160" name="ID_7F3A08EED3FE4BD3A9C683B5C1CFF28C" descr="61WnPCMTa1L._SL1000_"/>
        <xdr:cNvPicPr/>
      </xdr:nvPicPr>
      <xdr:blipFill>
        <a:blip r:embed="rId122"/>
        <a:stretch>
          <a:fillRect/>
        </a:stretch>
      </xdr:blipFill>
      <xdr:spPr>
        <a:xfrm>
          <a:off x="0" y="0"/>
          <a:ext cx="5715000" cy="7620000"/>
        </a:xfrm>
        <a:prstGeom prst="rect">
          <a:avLst/>
        </a:prstGeom>
      </xdr:spPr>
    </xdr:pic>
  </etc:cellImage>
  <etc:cellImage>
    <xdr:pic>
      <xdr:nvPicPr>
        <xdr:cNvPr id="161" name="ID_EF6398E43096435DA605C7CA70EFD6FE" descr="LLSS-ER 01"/>
        <xdr:cNvPicPr/>
      </xdr:nvPicPr>
      <xdr:blipFill>
        <a:blip r:embed="rId1"/>
        <a:stretch>
          <a:fillRect/>
        </a:stretch>
      </xdr:blipFill>
      <xdr:spPr>
        <a:xfrm>
          <a:off x="0" y="0"/>
          <a:ext cx="1485900" cy="1504950"/>
        </a:xfrm>
        <a:prstGeom prst="rect">
          <a:avLst/>
        </a:prstGeom>
      </xdr:spPr>
    </xdr:pic>
  </etc:cellImage>
  <etc:cellImage>
    <xdr:pic>
      <xdr:nvPicPr>
        <xdr:cNvPr id="162" name="ID_16A5FD0BE3E542258AA8C6BA545DB8A4" descr="61Ygd5rP8-L._SL300_"/>
        <xdr:cNvPicPr/>
      </xdr:nvPicPr>
      <xdr:blipFill>
        <a:blip r:embed="rId123"/>
        <a:stretch>
          <a:fillRect/>
        </a:stretch>
      </xdr:blipFill>
      <xdr:spPr>
        <a:xfrm>
          <a:off x="0" y="0"/>
          <a:ext cx="1714500" cy="2286000"/>
        </a:xfrm>
        <a:prstGeom prst="rect">
          <a:avLst/>
        </a:prstGeom>
      </xdr:spPr>
    </xdr:pic>
  </etc:cellImage>
  <etc:cellImage>
    <xdr:pic>
      <xdr:nvPicPr>
        <xdr:cNvPr id="163" name="ID_B11265ACF0134C33A0018F28BCA4A21B" descr="NJ-RM-RG-SS25-AB"/>
        <xdr:cNvPicPr/>
      </xdr:nvPicPr>
      <xdr:blipFill>
        <a:blip r:embed="rId124"/>
        <a:stretch>
          <a:fillRect/>
        </a:stretch>
      </xdr:blipFill>
      <xdr:spPr>
        <a:xfrm>
          <a:off x="0" y="0"/>
          <a:ext cx="5715000" cy="7620000"/>
        </a:xfrm>
        <a:prstGeom prst="rect">
          <a:avLst/>
        </a:prstGeom>
      </xdr:spPr>
    </xdr:pic>
  </etc:cellImage>
  <etc:cellImage>
    <xdr:pic>
      <xdr:nvPicPr>
        <xdr:cNvPr id="164" name="ID_A43AF2AFE4C442CB88649F6A9556D66B" descr="LLSS-AB 01"/>
        <xdr:cNvPicPr/>
      </xdr:nvPicPr>
      <xdr:blipFill>
        <a:blip r:embed="rId6"/>
        <a:stretch>
          <a:fillRect/>
        </a:stretch>
      </xdr:blipFill>
      <xdr:spPr>
        <a:xfrm>
          <a:off x="0" y="0"/>
          <a:ext cx="1619250" cy="1638300"/>
        </a:xfrm>
        <a:prstGeom prst="rect">
          <a:avLst/>
        </a:prstGeom>
      </xdr:spPr>
    </xdr:pic>
  </etc:cellImage>
  <etc:cellImage>
    <xdr:pic>
      <xdr:nvPicPr>
        <xdr:cNvPr id="165" name="ID_1548B4D86596428F81EA30C60845970D" descr="NJ-RM-RG-SS25-B"/>
        <xdr:cNvPicPr/>
      </xdr:nvPicPr>
      <xdr:blipFill>
        <a:blip r:embed="rId125"/>
        <a:stretch>
          <a:fillRect/>
        </a:stretch>
      </xdr:blipFill>
      <xdr:spPr>
        <a:xfrm>
          <a:off x="0" y="0"/>
          <a:ext cx="5715000" cy="7620000"/>
        </a:xfrm>
        <a:prstGeom prst="rect">
          <a:avLst/>
        </a:prstGeom>
      </xdr:spPr>
    </xdr:pic>
  </etc:cellImage>
  <etc:cellImage>
    <xdr:pic>
      <xdr:nvPicPr>
        <xdr:cNvPr id="166" name="ID_2FBAB8E2767E43A7BDA6E5B31857F835" descr="LLSS-B 01"/>
        <xdr:cNvPicPr/>
      </xdr:nvPicPr>
      <xdr:blipFill>
        <a:blip r:embed="rId2"/>
        <a:stretch>
          <a:fillRect/>
        </a:stretch>
      </xdr:blipFill>
      <xdr:spPr>
        <a:xfrm>
          <a:off x="0" y="0"/>
          <a:ext cx="1421130" cy="1470025"/>
        </a:xfrm>
        <a:prstGeom prst="rect">
          <a:avLst/>
        </a:prstGeom>
      </xdr:spPr>
    </xdr:pic>
  </etc:cellImage>
</etc:cellImage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<sst xmlns="http://schemas.openxmlformats.org/spreadsheetml/2006/main" count="4153" uniqueCount="243">
  <si>
    <t>NANJI/欧美跨境-长袖连体衣-款式情况</t>
  </si>
  <si>
    <t>款号：KJ-UB01</t>
  </si>
  <si>
    <t>2025/11/4</t>
  </si>
  <si>
    <t>序号</t>
  </si>
  <si>
    <t>款式</t>
  </si>
  <si>
    <t>SKU</t>
  </si>
  <si>
    <t>商品名称</t>
  </si>
  <si>
    <t>下单时间</t>
  </si>
  <si>
    <t>出货时间</t>
  </si>
  <si>
    <t>颜色</t>
  </si>
  <si>
    <t>采购单价(含辅料及税)</t>
  </si>
  <si>
    <t>尺码</t>
  </si>
  <si>
    <t>采购</t>
  </si>
  <si>
    <t>销存统计</t>
  </si>
  <si>
    <t>退货</t>
  </si>
  <si>
    <t>补单</t>
  </si>
  <si>
    <t>出货数</t>
  </si>
  <si>
    <t>出货额</t>
  </si>
  <si>
    <t>日销数量</t>
  </si>
  <si>
    <t>累计销量</t>
  </si>
  <si>
    <t>库存数量</t>
  </si>
  <si>
    <t>退货数量</t>
  </si>
  <si>
    <t>补单数量</t>
  </si>
  <si>
    <t>NJ-BS-LL-SS25-AB</t>
  </si>
  <si>
    <t>长袖连体衣</t>
  </si>
  <si>
    <t>蓝色AB</t>
  </si>
  <si>
    <t>XS</t>
  </si>
  <si>
    <t>S</t>
  </si>
  <si>
    <t>M</t>
  </si>
  <si>
    <t>L</t>
  </si>
  <si>
    <t>XL</t>
  </si>
  <si>
    <t>XXL</t>
  </si>
  <si>
    <t>小计</t>
  </si>
  <si>
    <t>NJ-BS-LL-SS25-B</t>
  </si>
  <si>
    <t>黑色B</t>
  </si>
  <si>
    <t>NJ-BS-LL-SS25-ER</t>
  </si>
  <si>
    <t>红色ER</t>
  </si>
  <si>
    <t>NJ-BS-LL-SS25-HC</t>
  </si>
  <si>
    <t>热巧克力HC</t>
  </si>
  <si>
    <t>NJ-BS-LL-SS25-LG</t>
  </si>
  <si>
    <t>柠檬草绿LG</t>
  </si>
  <si>
    <t>NJ-BS-LL-SS25-P</t>
  </si>
  <si>
    <t>粉色P</t>
  </si>
  <si>
    <t>NJ-BS-LL-SS25-W</t>
  </si>
  <si>
    <t>白色W</t>
  </si>
  <si>
    <t>供应商</t>
  </si>
  <si>
    <t>下单总数</t>
  </si>
  <si>
    <t>销售总数</t>
  </si>
  <si>
    <t>库存总数</t>
  </si>
  <si>
    <t>评价</t>
  </si>
  <si>
    <t>义乌朵彩</t>
  </si>
  <si>
    <t>NJ-BS-LL-SS25</t>
  </si>
  <si>
    <t>蓝色，黑色，红色，热巧克力，柠檬草绿，粉色，白色</t>
  </si>
  <si>
    <t>NANJI/欧美跨境-短袖连体衣-款式情况</t>
  </si>
  <si>
    <t>款号：KJ-UB02</t>
  </si>
  <si>
    <t>款号</t>
  </si>
  <si>
    <t>NJ-BS-NS-SS25-AB</t>
  </si>
  <si>
    <t>短袖连体衣</t>
  </si>
  <si>
    <t>NJ-BS-NS-SS25-B</t>
  </si>
  <si>
    <t>NJ-BS-NS-SS25-EG</t>
  </si>
  <si>
    <t>橡皮灰EG</t>
  </si>
  <si>
    <t>NJ-BS-NS-SS25-ER</t>
  </si>
  <si>
    <t>NJ-BS-NS-SS25-HC</t>
  </si>
  <si>
    <t>NJ-BS-NS-SS25-P</t>
  </si>
  <si>
    <t>NJ-BS-NS-SS25-W</t>
  </si>
  <si>
    <t>NJ-BS-NS-SS25</t>
  </si>
  <si>
    <t>蓝色，黑色，橡皮灰，红色，热巧克力，粉色，白色</t>
  </si>
  <si>
    <t>NANJI/欧美跨境-无袖连体衣-款式情况</t>
  </si>
  <si>
    <t>款号：KJ-UB03</t>
  </si>
  <si>
    <t>NJ-BS-SL-SS25-AB</t>
  </si>
  <si>
    <t>无袖连体衣</t>
  </si>
  <si>
    <t>NJ-BS-SL-SS25-B</t>
  </si>
  <si>
    <t>NJ-BS-SL-SS25-D</t>
  </si>
  <si>
    <t>深李子紫D</t>
  </si>
  <si>
    <t>NJ-BS-SL-SS25-ER</t>
  </si>
  <si>
    <t>NJ-BS-SL-SS25-HC</t>
  </si>
  <si>
    <t>NJ-BS-SL-SS25-LB</t>
  </si>
  <si>
    <t>薰衣草紫LB</t>
  </si>
  <si>
    <t>NJ-BS-SL-SS25-P</t>
  </si>
  <si>
    <t>NJ-BS-SL-SS25-W</t>
  </si>
  <si>
    <t>NJ-BS-SL-SS25</t>
  </si>
  <si>
    <t>蓝色，黑色，深李子紫，红色，热巧克力，薰衣草紫，粉色，白色</t>
  </si>
  <si>
    <t>NANJI/欧美跨境-吊带连体衣-款式情况</t>
  </si>
  <si>
    <t>款号：KJ-UB04</t>
  </si>
  <si>
    <t>NJ-BS-SS-SS25-AB</t>
  </si>
  <si>
    <t>吊带连体衣</t>
  </si>
  <si>
    <t>NJ-BS-SS-SS25-B</t>
  </si>
  <si>
    <t/>
  </si>
  <si>
    <t>NJ-BS-SS-SS25-ER</t>
  </si>
  <si>
    <t>NJ-BS-SS-SS25-HC</t>
  </si>
  <si>
    <t>NJ-BS-SS-SS25-MM</t>
  </si>
  <si>
    <t>摩卡慕斯MM</t>
  </si>
  <si>
    <t>NJ-BS-SS-SS25-P</t>
  </si>
  <si>
    <t>NJ-BS-SS-SS25-W</t>
  </si>
  <si>
    <t>NJ-BS-SS-SS25</t>
  </si>
  <si>
    <t>蓝色，黑色，红色，热巧克力，摩卡慕斯，粉色，白色</t>
  </si>
  <si>
    <t>NANJI/欧美跨境-圆领连体衣-款式情况</t>
  </si>
  <si>
    <t>款号：KJ-UB05</t>
  </si>
  <si>
    <t>NJ-BS-SL-AW25-B</t>
  </si>
  <si>
    <t>圆领连体衣</t>
  </si>
  <si>
    <t>NJ-BS-SL-AW25-CB</t>
  </si>
  <si>
    <t>皇家蓝CB</t>
  </si>
  <si>
    <t>NJ-BS-SL-AW25-P</t>
  </si>
  <si>
    <t>NJ-BS-SL-AW25-W</t>
  </si>
  <si>
    <t>荣利服饰</t>
  </si>
  <si>
    <t>NJ-BS-SL-AW25</t>
  </si>
  <si>
    <t>黑色，皇家蓝，粉色，白色</t>
  </si>
  <si>
    <t>NANJI/欧美跨境-无缝瑜伽裤-款式情况</t>
  </si>
  <si>
    <t>款号：KUS252WF001</t>
  </si>
  <si>
    <t>NJ-LG-SL-AW25-AB</t>
  </si>
  <si>
    <t>无缝瑜伽裤</t>
  </si>
  <si>
    <t>NJ-LG-SL-AW25-B</t>
  </si>
  <si>
    <t>NJ-LG-SL-AW25-BW</t>
  </si>
  <si>
    <t>棕色BW</t>
  </si>
  <si>
    <t>NJ-LG-SL-AW25-CB</t>
  </si>
  <si>
    <t>NJ-LG-SL-AW25-CC</t>
  </si>
  <si>
    <t>米白色CC</t>
  </si>
  <si>
    <t>NJ-LG-SL-AW25-D</t>
  </si>
  <si>
    <t>NJ-LG-SL-AW25-DG</t>
  </si>
  <si>
    <t>深灰色DG</t>
  </si>
  <si>
    <t>NJ-LG-SL-AW25-ER</t>
  </si>
  <si>
    <t>NJ-LG-SL-AW25-GN</t>
  </si>
  <si>
    <t>绿色GN</t>
  </si>
  <si>
    <t>NJ-LG-SL-AW25-LB</t>
  </si>
  <si>
    <t>NJ-LG-SL-AW25-MM</t>
  </si>
  <si>
    <t>NJ-LG-SL-AW25-P</t>
  </si>
  <si>
    <t xml:space="preserve"> 
义乌荣利</t>
  </si>
  <si>
    <t>NJ-LG-SL-AW25</t>
  </si>
  <si>
    <t>NANJI/欧美跨境-无缝文胸-款式情况</t>
  </si>
  <si>
    <t>款号：KUS252WF002</t>
  </si>
  <si>
    <t>NJ-BR-SY-AW25-AB</t>
  </si>
  <si>
    <t>无缝文胸</t>
  </si>
  <si>
    <t>NJ-BR-SY-AW25-B</t>
  </si>
  <si>
    <t>NJ-BR-SY-AW25-BW</t>
  </si>
  <si>
    <t>NJ-BR-SY-AW25-CB</t>
  </si>
  <si>
    <t>皇冠蓝CB</t>
  </si>
  <si>
    <t>NJ-BR-SY-AW25-CC</t>
  </si>
  <si>
    <t>NJ-BR-SY-AW25-D</t>
  </si>
  <si>
    <t>NJ-BR-SY-AW25-DG</t>
  </si>
  <si>
    <t>NJ-BR-SY-AW25-ER</t>
  </si>
  <si>
    <t>NJ-BR-SY-AW25-GN</t>
  </si>
  <si>
    <t>NJ-BR-SY-AW25-LB</t>
  </si>
  <si>
    <t>NJ-BR-SY-AW25-MM</t>
  </si>
  <si>
    <t>NJ-BR-SY-AW25-P</t>
  </si>
  <si>
    <t>NJ-BR-SY-AW25</t>
  </si>
  <si>
    <t>NANJI/欧美跨境-基础瑜伽裤-款式情况</t>
  </si>
  <si>
    <t>NJ-LG-RG-SS25-P</t>
  </si>
  <si>
    <t>基础瑜伽裤</t>
  </si>
  <si>
    <t>粉红佳人色P</t>
  </si>
  <si>
    <t>NJ-LG-RG-SS25-DC</t>
  </si>
  <si>
    <t>棕色DC</t>
  </si>
  <si>
    <t>NJ-LG-RG-SS25-B</t>
  </si>
  <si>
    <t>NJ-LG-RG-SS25-ER</t>
  </si>
  <si>
    <t>马术红色ER</t>
  </si>
  <si>
    <t>NJ-LG-RG-SS25-AB</t>
  </si>
  <si>
    <t>轻盈蓝色AB</t>
  </si>
  <si>
    <t>NJ-LG-RG-SS25-DR</t>
  </si>
  <si>
    <t>裸粉色DR</t>
  </si>
  <si>
    <t>NJ-LG-RG-SS25</t>
  </si>
  <si>
    <t>蓝，黑，棕，裸粉，红，粉</t>
  </si>
  <si>
    <t>NANJI/欧美跨境-口袋瑜伽裤-款式情况</t>
  </si>
  <si>
    <t>销存统计（含退货）</t>
  </si>
  <si>
    <t>NJ-LG-WP-SS25-P</t>
  </si>
  <si>
    <t>口袋瑜伽裤</t>
  </si>
  <si>
    <t>NJ-LG-WP-SS25-DC</t>
  </si>
  <si>
    <t>NJ-LG-WP-SS25-B</t>
  </si>
  <si>
    <t>NJ-LG-WP-SS25-ER</t>
  </si>
  <si>
    <t>NJ-LG-WP-SS25-AB</t>
  </si>
  <si>
    <t>NJ-LG-WP-SS25</t>
  </si>
  <si>
    <t>NANJI/欧美跨境-瑜伽短裤-款式情况</t>
  </si>
  <si>
    <t>NJ-LG-SH-SS25-P</t>
  </si>
  <si>
    <t>瑜伽短裤</t>
  </si>
  <si>
    <t>NJ-LG-SH-SS25-DC</t>
  </si>
  <si>
    <t>NJ-LG-SH-SS25-B</t>
  </si>
  <si>
    <t>NJ-LG-SH-SS25-ER</t>
  </si>
  <si>
    <t>NJ-LG-SH-SS25-AB</t>
  </si>
  <si>
    <t>NJ-LG-SH-SS25-DR</t>
  </si>
  <si>
    <t>NJ-LG-SH-SS25</t>
  </si>
  <si>
    <t>NANJI/欧美跨境-长袖T恤-款式情况</t>
  </si>
  <si>
    <t>款号：KJ-UT02</t>
  </si>
  <si>
    <t>NJ-TS-CL-SS25-AB</t>
  </si>
  <si>
    <t>长袖T恤</t>
  </si>
  <si>
    <t>NJ-TS-CL-SS25-B</t>
  </si>
  <si>
    <t>NJ-TS-CL-SS25-ER</t>
  </si>
  <si>
    <t>NJ-TS-CL-SS25-P</t>
  </si>
  <si>
    <t>NJ-TS-CL-SS25-W</t>
  </si>
  <si>
    <t>NJ-TS-CL-SS25</t>
  </si>
  <si>
    <t>蓝色，黑色，红色，粉色，白色</t>
  </si>
  <si>
    <t>NANJI/欧美跨境-短袖短T恤-款式情况</t>
  </si>
  <si>
    <t>款号：KJ-UT03</t>
  </si>
  <si>
    <t>NJ-TS-CS-SS25-AB</t>
  </si>
  <si>
    <t>短袖短T恤</t>
  </si>
  <si>
    <t>NJ-TS-CS-SS25-B</t>
  </si>
  <si>
    <t>NJ-TS-CS-SS25-ER</t>
  </si>
  <si>
    <t>NJ-TS-CS-SS25-P</t>
  </si>
  <si>
    <t>NJ-TS-CS-SS25-W</t>
  </si>
  <si>
    <t>NJ-TS-CS-SS25</t>
  </si>
  <si>
    <t>NANJI/欧美跨境-短袖T恤-款式情况</t>
  </si>
  <si>
    <t>款号：KJ-UT04</t>
  </si>
  <si>
    <t>NJ-TS-SL-SS25-AB</t>
  </si>
  <si>
    <t>短袖T恤</t>
  </si>
  <si>
    <t>NJ-TS-SL-SS25-B</t>
  </si>
  <si>
    <t>NJ-TS-SL-SS25-ER</t>
  </si>
  <si>
    <t>NJ-TS-SL-SS25-P</t>
  </si>
  <si>
    <t>NJ-TS-SL-SS25-W</t>
  </si>
  <si>
    <t>NJ-TS-SL-SS25</t>
  </si>
  <si>
    <t>NANJI/欧美跨境-基础背心-款式情况</t>
  </si>
  <si>
    <t>款号：KJ-UV01</t>
  </si>
  <si>
    <t>NJ-TS-TT-SS25-AB</t>
  </si>
  <si>
    <t>基础背心</t>
  </si>
  <si>
    <t>NJ-TS-TT-SS25-B</t>
  </si>
  <si>
    <t>NJ-TS-TT-SS25-ER</t>
  </si>
  <si>
    <t>NJ-TS-TT-SS25-P</t>
  </si>
  <si>
    <t>NJ-TS-TT-SS25-W</t>
  </si>
  <si>
    <t>NJ-TS-TT-SS25</t>
  </si>
  <si>
    <t>NANJI/欧美跨境-无袖连体裤-款式情况</t>
  </si>
  <si>
    <t>款号：KJ-S01</t>
  </si>
  <si>
    <t>NJ-SL-JS-SS25-W</t>
  </si>
  <si>
    <t>无袖连体裤</t>
  </si>
  <si>
    <t>NJ-SL-JS-SS25-B</t>
  </si>
  <si>
    <t>NJ-SL-JS-SS25</t>
  </si>
  <si>
    <t>白，黑</t>
  </si>
  <si>
    <t>NANJI/欧美跨境-拉链长裤-款式情况</t>
  </si>
  <si>
    <t>款号：KJ-S02</t>
  </si>
  <si>
    <t>NJ-SL-ZJ-SS25-P</t>
  </si>
  <si>
    <t>拉链长裤</t>
  </si>
  <si>
    <t>NJ-SL-ZJ-SS25-B</t>
  </si>
  <si>
    <t>NJ-SL-ZJ-SS25</t>
  </si>
  <si>
    <t>粉，黑</t>
  </si>
  <si>
    <t>NANJI/欧美跨境-长袖连衣裙-款式情况</t>
  </si>
  <si>
    <t>款号：KJ-S04</t>
  </si>
  <si>
    <t>NJ-DS-LS-SS25-ER</t>
  </si>
  <si>
    <t>长袖连衣裙</t>
  </si>
  <si>
    <t>NJ-DS-LS-SS25-B</t>
  </si>
  <si>
    <t>NJ-DS-LS-SS25</t>
  </si>
  <si>
    <t>红，黑</t>
  </si>
  <si>
    <t>NANJI/欧美跨境-短袖连体裤-款式情况</t>
  </si>
  <si>
    <t>款号：KJ-S05</t>
  </si>
  <si>
    <t>NJ-RM-RG-SS25-AB</t>
  </si>
  <si>
    <t>短袖连体裤</t>
  </si>
  <si>
    <t>NJ-RM-RG-SS25-B</t>
  </si>
  <si>
    <t>NJ-RM-RG-SS25</t>
  </si>
  <si>
    <t>蓝，黑</t>
  </si>
</sst>
</file>

<file path=xl/styles.xml><?xml version="1.0" encoding="utf-8"?>
<styleSheet xmlns="http://schemas.openxmlformats.org/spreadsheetml/2006/main" xmlns:ap="http://schemas.openxmlformats.org/officeDocument/2006/extended-properties" xmlns:op="http://schemas.openxmlformats.org/officeDocument/2006/custom-properties" xmlns:a="http://schemas.openxmlformats.org/drawingml/2006/main" xmlns:c="http://schemas.openxmlformats.org/drawingml/2006/chart" xmlns:cdr="http://schemas.openxmlformats.org/drawingml/2006/chartDrawing" xmlns:comp="http://schemas.openxmlformats.org/drawingml/2006/compatibility" xmlns:dgm="http://schemas.openxmlformats.org/drawingml/2006/diagram" xmlns:lc="http://schemas.openxmlformats.org/drawingml/2006/lockedCanvas" xmlns:pic="http://schemas.openxmlformats.org/drawingml/2006/picture" xmlns:xdr="http://schemas.openxmlformats.org/drawingml/2006/spreadsheetDrawing" xmlns:r="http://schemas.openxmlformats.org/officeDocument/2006/relationships" xmlns:ds="http://schemas.openxmlformats.org/officeDocument/2006/customXml" xmlns:m="http://schemas.openxmlformats.org/officeDocument/2006/math" xmlns:x="http://schemas.openxmlformats.org/spreadsheetml/2006/main" xmlns:sl="http://schemas.openxmlformats.org/schemaLibrary/2006/main" xmlns:mc="http://schemas.openxmlformats.org/markup-compatibility/2006" xmlns:xne="http://schemas.microsoft.com/office/excel/2006/main" xmlns:mso="http://schemas.microsoft.com/office/2006/01/customui" xmlns:ax="http://schemas.microsoft.com/office/2006/activeX" xmlns:cppr="http://schemas.microsoft.com/office/2006/coverPageProps" xmlns:cdip="http://schemas.microsoft.com/office/2006/customDocumentInformationPanel" xmlns:ct="http://schemas.microsoft.com/office/2006/metadata/contentType" xmlns:ntns="http://schemas.microsoft.com/office/2006/metadata/customXsn" xmlns:lp="http://schemas.microsoft.com/office/2006/metadata/longProperties" xmlns:ma="http://schemas.microsoft.com/office/2006/metadata/properties/metaAttributes" xmlns:msink="http://schemas.microsoft.com/ink/2010/main" xmlns:c14="http://schemas.microsoft.com/office/drawing/2007/8/2/chart" xmlns:cdr14="http://schemas.microsoft.com/office/drawing/2010/chartDrawing" xmlns:a14="http://schemas.microsoft.com/office/drawing/2010/main" xmlns:pic14="http://schemas.microsoft.com/office/drawing/2010/picture" xmlns:x14="http://schemas.microsoft.com/office/spreadsheetml/2009/9/main" xmlns:xdr14="http://schemas.microsoft.com/office/excel/2010/spreadsheetDrawing" xmlns:x14ac="http://schemas.microsoft.com/office/spreadsheetml/2009/9/ac" xmlns:dsp="http://schemas.microsoft.com/office/drawing/2008/diagram" xmlns:mso14="http://schemas.microsoft.com/office/2009/07/customui" xmlns:dgm14="http://schemas.microsoft.com/office/drawing/2010/diagram" xmlns:x15="http://schemas.microsoft.com/office/spreadsheetml/2010/11/main" xmlns:x12ac="http://schemas.microsoft.com/office/spreadsheetml/2011/1/ac" xmlns:x15ac="http://schemas.microsoft.com/office/spreadsheetml/2010/11/ac" xmlns:xr="http://schemas.microsoft.com/office/spreadsheetml/2014/revision" xmlns:xr2="http://schemas.microsoft.com/office/spreadsheetml/2015/revision2" xmlns:xr3="http://schemas.microsoft.com/office/spreadsheetml/2016/revision3" xmlns:xr4="http://schemas.microsoft.com/office/spreadsheetml/2016/revision4" xmlns:xr5="http://schemas.microsoft.com/office/spreadsheetml/2016/revision5" xmlns:xr6="http://schemas.microsoft.com/office/spreadsheetml/2016/revision6" xmlns:xr7="http://schemas.microsoft.com/office/spreadsheetml/2016/revision7" xmlns:xr8="http://schemas.microsoft.com/office/spreadsheetml/2016/revision8" xmlns:xr9="http://schemas.microsoft.com/office/spreadsheetml/2016/revision9" xmlns:xr10="http://schemas.microsoft.com/office/spreadsheetml/2016/revision10" xmlns:xr11="http://schemas.microsoft.com/office/spreadsheetml/2016/revision11" xmlns:xr12="http://schemas.microsoft.com/office/spreadsheetml/2016/revision12" xmlns:xr13="http://schemas.microsoft.com/office/spreadsheetml/2016/revision13" xmlns:xr14="http://schemas.microsoft.com/office/spreadsheetml/2016/revision14" xmlns:xr15="http://schemas.microsoft.com/office/spreadsheetml/2016/revision15" xmlns:x16="http://schemas.microsoft.com/office/spreadsheetml/2014/11/main" xmlns:x16r2="http://schemas.microsoft.com/office/spreadsheetml/2015/02/main" xmlns:mo="http://schemas.microsoft.com/office/mac/office/2008/main" xmlns:mx="http://schemas.microsoft.com/office/mac/excel/2008/main" xmlns:mv="urn:schemas-microsoft-com:mac:vml" xmlns:o="urn:schemas-microsoft-com:office:office" xmlns:v="urn:schemas-microsoft-com:vml" mc:Ignorable="c14 cdr14 a14 pic14 x14 xdr14 x14ac dsp mso14 dgm14 x15 x12ac x15ac xr xr2 xr3 xr4 xr5 xr6 xr7 xr8 xr9 xr10 xr11 xr12 xr13 xr14 xr15 x15 x16 x16r2 mo mx mv o v" xr:uid="{00000000-0001-0000-0000-000000000000}">
  <numFmts count="6">
    <numFmt numFmtId="7" formatCode="&quot;￥&quot;#,##0.00;&quot;￥&quot;\-#,##0.00"/>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 numFmtId="176" formatCode="&quot;￥&quot;#,##0.000;&quot;￥&quot;\-#,##0.000"/>
  </numFmts>
  <fonts count="30">
    <font>
      <name val="宋体"/>
      <charset val="134"/>
      <color theme="1"/>
      <sz val="11"/>
      <scheme val="minor"/>
    </font>
    <font>
      <name val="新宋体"/>
      <charset val="134"/>
      <color theme="1"/>
      <sz val="14"/>
    </font>
    <font>
      <name val="微软雅黑"/>
      <charset val="134"/>
      <b val="1"/>
      <color theme="0"/>
      <sz val="18"/>
    </font>
    <font>
      <name val="新宋体"/>
      <charset val="134"/>
      <b val="1"/>
      <color rgb="FF000000"/>
      <sz val="12"/>
    </font>
    <font>
      <name val="宋体"/>
      <charset val="134"/>
      <color theme="1"/>
      <sz val="10"/>
      <scheme val="minor"/>
    </font>
    <font>
      <name val="宋体"/>
      <charset val="134"/>
      <b val="1"/>
      <color theme="1"/>
      <sz val="11"/>
      <scheme val="minor"/>
    </font>
    <font>
      <name val="宋体"/>
      <charset val="134"/>
      <color theme="1"/>
      <sz val="12"/>
      <scheme val="minor"/>
    </font>
    <font>
      <name val="新宋体"/>
      <charset val="134"/>
      <color rgb="FF000000"/>
      <sz val="10"/>
    </font>
    <font>
      <name val="宋体"/>
      <charset val="134"/>
      <b val="1"/>
      <color theme="1"/>
      <sz val="10"/>
      <scheme val="minor"/>
    </font>
    <font>
      <name val="宋体"/>
      <charset val="134"/>
      <color theme="9"/>
      <sz val="10"/>
      <scheme val="minor"/>
    </font>
    <font>
      <name val="宋体"/>
      <charset val="134"/>
      <color rgb="FFFF0000"/>
      <sz val="10"/>
      <scheme val="minor"/>
    </font>
    <font>
      <name val="宋体"/>
      <charset val="0"/>
      <color rgb="FF0000FF"/>
      <sz val="11"/>
      <u/>
      <scheme val="minor"/>
    </font>
    <font>
      <name val="宋体"/>
      <charset val="0"/>
      <color rgb="FF800080"/>
      <sz val="11"/>
      <u/>
      <scheme val="minor"/>
    </font>
    <font>
      <name val="宋体"/>
      <charset val="0"/>
      <color rgb="FFFF0000"/>
      <sz val="11"/>
      <scheme val="minor"/>
    </font>
    <font>
      <name val="宋体"/>
      <charset val="134"/>
      <b val="1"/>
      <color theme="3"/>
      <sz val="18"/>
      <scheme val="minor"/>
    </font>
    <font>
      <name val="宋体"/>
      <charset val="0"/>
      <i val="1"/>
      <color rgb="FF7F7F7F"/>
      <sz val="11"/>
      <scheme val="minor"/>
    </font>
    <font>
      <name val="宋体"/>
      <charset val="134"/>
      <b val="1"/>
      <color theme="3"/>
      <sz val="15"/>
      <scheme val="minor"/>
    </font>
    <font>
      <name val="宋体"/>
      <charset val="134"/>
      <b val="1"/>
      <color theme="3"/>
      <sz val="13"/>
      <scheme val="minor"/>
    </font>
    <font>
      <name val="宋体"/>
      <charset val="134"/>
      <b val="1"/>
      <color theme="3"/>
      <sz val="11"/>
      <scheme val="minor"/>
    </font>
    <font>
      <name val="宋体"/>
      <charset val="0"/>
      <color rgb="FF3F3F76"/>
      <sz val="11"/>
      <scheme val="minor"/>
    </font>
    <font>
      <name val="宋体"/>
      <charset val="0"/>
      <b val="1"/>
      <color rgb="FF3F3F3F"/>
      <sz val="11"/>
      <scheme val="minor"/>
    </font>
    <font>
      <name val="宋体"/>
      <charset val="0"/>
      <b val="1"/>
      <color rgb="FFFA7D00"/>
      <sz val="11"/>
      <scheme val="minor"/>
    </font>
    <font>
      <name val="宋体"/>
      <charset val="0"/>
      <b val="1"/>
      <color rgb="FFFFFFFF"/>
      <sz val="11"/>
      <scheme val="minor"/>
    </font>
    <font>
      <name val="宋体"/>
      <charset val="0"/>
      <color rgb="FFFA7D00"/>
      <sz val="11"/>
      <scheme val="minor"/>
    </font>
    <font>
      <name val="宋体"/>
      <charset val="0"/>
      <b val="1"/>
      <color theme="1"/>
      <sz val="11"/>
      <scheme val="minor"/>
    </font>
    <font>
      <name val="宋体"/>
      <charset val="0"/>
      <color rgb="FF006100"/>
      <sz val="11"/>
      <scheme val="minor"/>
    </font>
    <font>
      <name val="宋体"/>
      <charset val="0"/>
      <color rgb="FF9C0006"/>
      <sz val="11"/>
      <scheme val="minor"/>
    </font>
    <font>
      <name val="宋体"/>
      <charset val="0"/>
      <color rgb="FF9C6500"/>
      <sz val="11"/>
      <scheme val="minor"/>
    </font>
    <font>
      <name val="宋体"/>
      <charset val="0"/>
      <color theme="0"/>
      <sz val="11"/>
      <scheme val="minor"/>
    </font>
    <font>
      <name val="宋体"/>
      <charset val="0"/>
      <color theme="1"/>
      <sz val="11"/>
      <scheme val="minor"/>
    </font>
  </fonts>
  <fills count="35">
    <fill>
      <patternFill patternType="none"/>
    </fill>
    <fill>
      <patternFill patternType="gray125"/>
    </fill>
    <fill>
      <patternFill patternType="solid">
        <fgColor theme="4" tint="-0.249977111117893"/>
        <bgColor indexed="64"/>
      </patternFill>
    </fill>
    <fill>
      <patternFill patternType="solid">
        <fgColor rgb="FFD6DCE4"/>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24">
    <border>
      <left/>
      <right/>
      <top/>
      <bottom/>
      <diagonal/>
    </border>
    <border>
      <left style="thin">
        <color auto="true"/>
      </left>
      <right style="thin">
        <color auto="true"/>
      </right>
      <top style="thin">
        <color auto="true"/>
      </top>
      <bottom style="thin">
        <color auto="true"/>
      </bottom>
      <diagonal/>
    </border>
    <border>
      <left style="thin">
        <color auto="true"/>
      </left>
      <right/>
      <top style="thin">
        <color auto="true"/>
      </top>
      <bottom style="thin">
        <color auto="true"/>
      </bottom>
      <diagonal/>
    </border>
    <border>
      <left/>
      <right/>
      <top style="thin">
        <color auto="true"/>
      </top>
      <bottom style="thin">
        <color auto="true"/>
      </bottom>
      <diagonal/>
    </border>
    <border>
      <left style="thin">
        <color auto="true"/>
      </left>
      <right style="thin">
        <color auto="true"/>
      </right>
      <top style="thin">
        <color auto="true"/>
      </top>
      <bottom/>
      <diagonal/>
    </border>
    <border>
      <left style="thin">
        <color auto="true"/>
      </left>
      <right/>
      <top style="thin">
        <color auto="true"/>
      </top>
      <bottom/>
      <diagonal/>
    </border>
    <border>
      <left/>
      <right style="thin">
        <color auto="true"/>
      </right>
      <top style="thin">
        <color auto="true"/>
      </top>
      <bottom/>
      <diagonal/>
    </border>
    <border>
      <left style="thin">
        <color auto="true"/>
      </left>
      <right style="thin">
        <color auto="true"/>
      </right>
      <top/>
      <bottom/>
      <diagonal/>
    </border>
    <border>
      <left style="thin">
        <color auto="true"/>
      </left>
      <right/>
      <top/>
      <bottom/>
      <diagonal/>
    </border>
    <border>
      <left/>
      <right style="thin">
        <color auto="true"/>
      </right>
      <top/>
      <bottom/>
      <diagonal/>
    </border>
    <border>
      <left style="thin">
        <color auto="true"/>
      </left>
      <right style="thin">
        <color auto="true"/>
      </right>
      <top/>
      <bottom style="thin">
        <color auto="true"/>
      </bottom>
      <diagonal/>
    </border>
    <border>
      <left style="thin">
        <color auto="true"/>
      </left>
      <right/>
      <top/>
      <bottom style="thin">
        <color auto="true"/>
      </bottom>
      <diagonal/>
    </border>
    <border>
      <left/>
      <right style="thin">
        <color auto="true"/>
      </right>
      <top/>
      <bottom style="thin">
        <color auto="true"/>
      </bottom>
      <diagonal/>
    </border>
    <border>
      <left/>
      <right style="thin">
        <color auto="true"/>
      </right>
      <top style="thin">
        <color auto="true"/>
      </top>
      <bottom style="thin">
        <color auto="true"/>
      </bottom>
      <diagonal/>
    </border>
    <border>
      <left/>
      <right/>
      <top style="thin">
        <color auto="true"/>
      </top>
      <bottom/>
      <diagonal/>
    </border>
    <border>
      <left/>
      <right/>
      <top/>
      <bottom style="thin">
        <color auto="true"/>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pplyFont="false" applyFill="false" applyBorder="false" applyAlignment="false" applyProtection="false">
      <alignment vertical="center"/>
    </xf>
    <xf numFmtId="44" fontId="0" fillId="0" borderId="0" applyFont="false" applyFill="false" applyBorder="false" applyAlignment="false" applyProtection="false">
      <alignment vertical="center"/>
    </xf>
    <xf numFmtId="9" fontId="0" fillId="0" borderId="0" applyFont="false" applyFill="false" applyBorder="false" applyAlignment="false" applyProtection="false">
      <alignment vertical="center"/>
    </xf>
    <xf numFmtId="41" fontId="0" fillId="0" borderId="0" applyFont="false" applyFill="false" applyBorder="false" applyAlignment="false" applyProtection="false">
      <alignment vertical="center"/>
    </xf>
    <xf numFmtId="42" fontId="0" fillId="0" borderId="0" applyFont="false" applyFill="false" applyBorder="false" applyAlignment="false" applyProtection="false">
      <alignment vertical="center"/>
    </xf>
    <xf numFmtId="0" fontId="11" fillId="0" borderId="0" applyNumberFormat="false" applyFill="false" applyBorder="false" applyAlignment="false" applyProtection="false">
      <alignment vertical="center"/>
    </xf>
    <xf numFmtId="0" fontId="12" fillId="0" borderId="0" applyNumberFormat="false" applyFill="false" applyBorder="false" applyAlignment="false" applyProtection="false">
      <alignment vertical="center"/>
    </xf>
    <xf numFmtId="0" fontId="0" fillId="4" borderId="16" applyNumberFormat="false" applyFont="false" applyAlignment="false" applyProtection="false">
      <alignment vertical="center"/>
    </xf>
    <xf numFmtId="0" fontId="13" fillId="0" borderId="0" applyNumberFormat="false" applyFill="false" applyBorder="false" applyAlignment="false" applyProtection="false">
      <alignment vertical="center"/>
    </xf>
    <xf numFmtId="0" fontId="14" fillId="0" borderId="0" applyNumberFormat="false" applyFill="false" applyBorder="false" applyAlignment="false" applyProtection="false">
      <alignment vertical="center"/>
    </xf>
    <xf numFmtId="0" fontId="15" fillId="0" borderId="0" applyNumberFormat="false" applyFill="false" applyBorder="false" applyAlignment="false" applyProtection="false">
      <alignment vertical="center"/>
    </xf>
    <xf numFmtId="0" fontId="16" fillId="0" borderId="17" applyNumberFormat="false" applyFill="false" applyAlignment="false" applyProtection="false">
      <alignment vertical="center"/>
    </xf>
    <xf numFmtId="0" fontId="17" fillId="0" borderId="17" applyNumberFormat="false" applyFill="false" applyAlignment="false" applyProtection="false">
      <alignment vertical="center"/>
    </xf>
    <xf numFmtId="0" fontId="18" fillId="0" borderId="18" applyNumberFormat="false" applyFill="false" applyAlignment="false" applyProtection="false">
      <alignment vertical="center"/>
    </xf>
    <xf numFmtId="0" fontId="18" fillId="0" borderId="0" applyNumberFormat="false" applyFill="false" applyBorder="false" applyAlignment="false" applyProtection="false">
      <alignment vertical="center"/>
    </xf>
    <xf numFmtId="0" fontId="19" fillId="5" borderId="19" applyNumberFormat="false" applyAlignment="false" applyProtection="false">
      <alignment vertical="center"/>
    </xf>
    <xf numFmtId="0" fontId="20" fillId="6" borderId="20" applyNumberFormat="false" applyAlignment="false" applyProtection="false">
      <alignment vertical="center"/>
    </xf>
    <xf numFmtId="0" fontId="21" fillId="6" borderId="19" applyNumberFormat="false" applyAlignment="false" applyProtection="false">
      <alignment vertical="center"/>
    </xf>
    <xf numFmtId="0" fontId="22" fillId="7" borderId="21" applyNumberFormat="false" applyAlignment="false" applyProtection="false">
      <alignment vertical="center"/>
    </xf>
    <xf numFmtId="0" fontId="23" fillId="0" borderId="22" applyNumberFormat="false" applyFill="false" applyAlignment="false" applyProtection="false">
      <alignment vertical="center"/>
    </xf>
    <xf numFmtId="0" fontId="24" fillId="0" borderId="23" applyNumberFormat="false" applyFill="false" applyAlignment="false" applyProtection="false">
      <alignment vertical="center"/>
    </xf>
    <xf numFmtId="0" fontId="25" fillId="8" borderId="0" applyNumberFormat="false" applyBorder="false" applyAlignment="false" applyProtection="false">
      <alignment vertical="center"/>
    </xf>
    <xf numFmtId="0" fontId="26" fillId="9" borderId="0" applyNumberFormat="false" applyBorder="false" applyAlignment="false" applyProtection="false">
      <alignment vertical="center"/>
    </xf>
    <xf numFmtId="0" fontId="27" fillId="10" borderId="0" applyNumberFormat="false" applyBorder="false" applyAlignment="false" applyProtection="false">
      <alignment vertical="center"/>
    </xf>
    <xf numFmtId="0" fontId="28" fillId="11" borderId="0" applyNumberFormat="false" applyBorder="false" applyAlignment="false" applyProtection="false">
      <alignment vertical="center"/>
    </xf>
    <xf numFmtId="0" fontId="29" fillId="12" borderId="0" applyNumberFormat="false" applyBorder="false" applyAlignment="false" applyProtection="false">
      <alignment vertical="center"/>
    </xf>
    <xf numFmtId="0" fontId="29" fillId="13" borderId="0" applyNumberFormat="false" applyBorder="false" applyAlignment="false" applyProtection="false">
      <alignment vertical="center"/>
    </xf>
    <xf numFmtId="0" fontId="28" fillId="14" borderId="0" applyNumberFormat="false" applyBorder="false" applyAlignment="false" applyProtection="false">
      <alignment vertical="center"/>
    </xf>
    <xf numFmtId="0" fontId="28" fillId="15" borderId="0" applyNumberFormat="false" applyBorder="false" applyAlignment="false" applyProtection="false">
      <alignment vertical="center"/>
    </xf>
    <xf numFmtId="0" fontId="29" fillId="16" borderId="0" applyNumberFormat="false" applyBorder="false" applyAlignment="false" applyProtection="false">
      <alignment vertical="center"/>
    </xf>
    <xf numFmtId="0" fontId="29" fillId="17" borderId="0" applyNumberFormat="false" applyBorder="false" applyAlignment="false" applyProtection="false">
      <alignment vertical="center"/>
    </xf>
    <xf numFmtId="0" fontId="28" fillId="18" borderId="0" applyNumberFormat="false" applyBorder="false" applyAlignment="false" applyProtection="false">
      <alignment vertical="center"/>
    </xf>
    <xf numFmtId="0" fontId="28" fillId="19" borderId="0" applyNumberFormat="false" applyBorder="false" applyAlignment="false" applyProtection="false">
      <alignment vertical="center"/>
    </xf>
    <xf numFmtId="0" fontId="29" fillId="20" borderId="0" applyNumberFormat="false" applyBorder="false" applyAlignment="false" applyProtection="false">
      <alignment vertical="center"/>
    </xf>
    <xf numFmtId="0" fontId="29" fillId="21" borderId="0" applyNumberFormat="false" applyBorder="false" applyAlignment="false" applyProtection="false">
      <alignment vertical="center"/>
    </xf>
    <xf numFmtId="0" fontId="28" fillId="22" borderId="0" applyNumberFormat="false" applyBorder="false" applyAlignment="false" applyProtection="false">
      <alignment vertical="center"/>
    </xf>
    <xf numFmtId="0" fontId="28" fillId="23" borderId="0" applyNumberFormat="false" applyBorder="false" applyAlignment="false" applyProtection="false">
      <alignment vertical="center"/>
    </xf>
    <xf numFmtId="0" fontId="29" fillId="24" borderId="0" applyNumberFormat="false" applyBorder="false" applyAlignment="false" applyProtection="false">
      <alignment vertical="center"/>
    </xf>
    <xf numFmtId="0" fontId="29" fillId="25" borderId="0" applyNumberFormat="false" applyBorder="false" applyAlignment="false" applyProtection="false">
      <alignment vertical="center"/>
    </xf>
    <xf numFmtId="0" fontId="28" fillId="26" borderId="0" applyNumberFormat="false" applyBorder="false" applyAlignment="false" applyProtection="false">
      <alignment vertical="center"/>
    </xf>
    <xf numFmtId="0" fontId="28" fillId="27" borderId="0" applyNumberFormat="false" applyBorder="false" applyAlignment="false" applyProtection="false">
      <alignment vertical="center"/>
    </xf>
    <xf numFmtId="0" fontId="29" fillId="28" borderId="0" applyNumberFormat="false" applyBorder="false" applyAlignment="false" applyProtection="false">
      <alignment vertical="center"/>
    </xf>
    <xf numFmtId="0" fontId="29" fillId="29" borderId="0" applyNumberFormat="false" applyBorder="false" applyAlignment="false" applyProtection="false">
      <alignment vertical="center"/>
    </xf>
    <xf numFmtId="0" fontId="28" fillId="30" borderId="0" applyNumberFormat="false" applyBorder="false" applyAlignment="false" applyProtection="false">
      <alignment vertical="center"/>
    </xf>
    <xf numFmtId="0" fontId="28" fillId="31" borderId="0" applyNumberFormat="false" applyBorder="false" applyAlignment="false" applyProtection="false">
      <alignment vertical="center"/>
    </xf>
    <xf numFmtId="0" fontId="29" fillId="32" borderId="0" applyNumberFormat="false" applyBorder="false" applyAlignment="false" applyProtection="false">
      <alignment vertical="center"/>
    </xf>
    <xf numFmtId="0" fontId="29" fillId="33" borderId="0" applyNumberFormat="false" applyBorder="false" applyAlignment="false" applyProtection="false">
      <alignment vertical="center"/>
    </xf>
    <xf numFmtId="0" fontId="28" fillId="34" borderId="0" applyNumberFormat="false" applyBorder="false" applyAlignment="false" applyProtection="false">
      <alignment vertical="center"/>
    </xf>
  </cellStyleXfs>
  <cellXfs count="93">
    <xf numFmtId="0" fontId="0" fillId="0" borderId="0" xfId="0">
      <alignment vertical="center"/>
    </xf>
    <xf numFmtId="0" fontId="1" fillId="0" borderId="1" xfId="0" applyFont="true" applyFill="true" applyBorder="true" applyAlignment="true">
      <alignment vertical="center"/>
    </xf>
    <xf numFmtId="0" fontId="0" fillId="0" borderId="1" xfId="0" applyFill="true" applyBorder="true" applyAlignment="true">
      <alignment vertical="center"/>
    </xf>
    <xf numFmtId="0" fontId="0" fillId="0" borderId="0" xfId="0" applyFill="true" applyAlignment="true">
      <alignment vertical="center"/>
    </xf>
    <xf numFmtId="0" fontId="0" fillId="0" borderId="0" xfId="0" applyFill="true" applyAlignment="true">
      <alignment horizontal="center" vertical="center"/>
    </xf>
    <xf numFmtId="0" fontId="2" fillId="2" borderId="2" xfId="0" applyFont="true" applyFill="true" applyBorder="true" applyAlignment="true">
      <alignment horizontal="center" vertical="center"/>
    </xf>
    <xf numFmtId="0" fontId="2" fillId="2" borderId="3" xfId="0" applyFont="true" applyFill="true" applyBorder="true" applyAlignment="true">
      <alignment horizontal="center" vertical="center"/>
    </xf>
    <xf numFmtId="0" fontId="3" fillId="3" borderId="4" xfId="0" applyFont="true" applyFill="true" applyBorder="true" applyAlignment="true">
      <alignment horizontal="center" vertical="center" wrapText="true"/>
    </xf>
    <xf numFmtId="0" fontId="3" fillId="3" borderId="5" xfId="0" applyFont="true" applyFill="true" applyBorder="true" applyAlignment="true">
      <alignment horizontal="center" vertical="center" wrapText="true"/>
    </xf>
    <xf numFmtId="0" fontId="3" fillId="3" borderId="6" xfId="0" applyFont="true" applyFill="true" applyBorder="true" applyAlignment="true">
      <alignment horizontal="center" vertical="center" wrapText="true"/>
    </xf>
    <xf numFmtId="0" fontId="3" fillId="3" borderId="7" xfId="0" applyFont="true" applyFill="true" applyBorder="true" applyAlignment="true">
      <alignment horizontal="center" vertical="center" wrapText="true"/>
    </xf>
    <xf numFmtId="0" fontId="3" fillId="3" borderId="8" xfId="0" applyFont="true" applyFill="true" applyBorder="true" applyAlignment="true">
      <alignment horizontal="center" vertical="center" wrapText="true"/>
    </xf>
    <xf numFmtId="0" fontId="3" fillId="3" borderId="9" xfId="0" applyFont="true" applyFill="true" applyBorder="true" applyAlignment="true">
      <alignment horizontal="center" vertical="center" wrapText="true"/>
    </xf>
    <xf numFmtId="0" fontId="3" fillId="3" borderId="10" xfId="0" applyFont="true" applyFill="true" applyBorder="true" applyAlignment="true">
      <alignment horizontal="center" vertical="center" wrapText="true"/>
    </xf>
    <xf numFmtId="0" fontId="3" fillId="3" borderId="11" xfId="0" applyFont="true" applyFill="true" applyBorder="true" applyAlignment="true">
      <alignment horizontal="center" vertical="center" wrapText="true"/>
    </xf>
    <xf numFmtId="0" fontId="3" fillId="3" borderId="12" xfId="0" applyFont="true" applyFill="true" applyBorder="true" applyAlignment="true">
      <alignment horizontal="center" vertical="center" wrapText="true"/>
    </xf>
    <xf numFmtId="0" fontId="0" fillId="0" borderId="7" xfId="0" applyFill="true" applyBorder="true" applyAlignment="true">
      <alignment horizontal="center" vertical="center"/>
    </xf>
    <xf numFmtId="0" fontId="0" fillId="0" borderId="4" xfId="0" applyFill="true" applyBorder="true" applyAlignment="true">
      <alignment horizontal="center" vertical="center"/>
    </xf>
    <xf numFmtId="0" fontId="4" fillId="0" borderId="4" xfId="0" applyFont="true" applyFill="true" applyBorder="true" applyAlignment="true">
      <alignment horizontal="center" vertical="center"/>
    </xf>
    <xf numFmtId="14" fontId="4" fillId="0" borderId="1" xfId="0" applyNumberFormat="true" applyFont="true" applyFill="true" applyBorder="true" applyAlignment="true">
      <alignment horizontal="center" vertical="center"/>
    </xf>
    <xf numFmtId="0" fontId="4" fillId="0" borderId="8" xfId="0" applyFont="true" applyFill="true" applyBorder="true" applyAlignment="true">
      <alignment horizontal="center" vertical="center"/>
    </xf>
    <xf numFmtId="0" fontId="4" fillId="0" borderId="9" xfId="0" applyFont="true" applyFill="true" applyBorder="true" applyAlignment="true">
      <alignment horizontal="center" vertical="center"/>
    </xf>
    <xf numFmtId="0" fontId="4" fillId="0" borderId="7" xfId="0" applyFont="true" applyFill="true" applyBorder="true" applyAlignment="true">
      <alignment horizontal="center" vertical="center"/>
    </xf>
    <xf numFmtId="0" fontId="4" fillId="0" borderId="1" xfId="0" applyFont="true" applyFill="true" applyBorder="true" applyAlignment="true">
      <alignment horizontal="center" vertical="center"/>
    </xf>
    <xf numFmtId="0" fontId="0" fillId="0" borderId="10" xfId="0" applyFill="true" applyBorder="true" applyAlignment="true">
      <alignment horizontal="center" vertical="center"/>
    </xf>
    <xf numFmtId="0" fontId="4" fillId="0" borderId="10" xfId="0" applyFont="true" applyFill="true" applyBorder="true" applyAlignment="true">
      <alignment horizontal="center" vertical="center"/>
    </xf>
    <xf numFmtId="0" fontId="4" fillId="0" borderId="11" xfId="0" applyFont="true" applyFill="true" applyBorder="true" applyAlignment="true">
      <alignment horizontal="center" vertical="center"/>
    </xf>
    <xf numFmtId="0" fontId="4" fillId="0" borderId="12" xfId="0" applyFont="true" applyFill="true" applyBorder="true" applyAlignment="true">
      <alignment horizontal="center" vertical="center"/>
    </xf>
    <xf numFmtId="0" fontId="0" fillId="0" borderId="2" xfId="0" applyFill="true" applyBorder="true" applyAlignment="true">
      <alignment horizontal="center" vertical="center"/>
    </xf>
    <xf numFmtId="0" fontId="0" fillId="0" borderId="3" xfId="0" applyFill="true" applyBorder="true" applyAlignment="true">
      <alignment horizontal="center" vertical="center"/>
    </xf>
    <xf numFmtId="0" fontId="3" fillId="3" borderId="1" xfId="0" applyFont="true" applyFill="true" applyBorder="true" applyAlignment="true">
      <alignment horizontal="center" vertical="center" wrapText="true"/>
    </xf>
    <xf numFmtId="0" fontId="4" fillId="0" borderId="0" xfId="0" applyFont="true" applyFill="true" applyAlignment="true">
      <alignment horizontal="center" vertical="center"/>
    </xf>
    <xf numFmtId="0" fontId="5" fillId="3" borderId="2" xfId="0" applyFont="true" applyFill="true" applyBorder="true" applyAlignment="true">
      <alignment horizontal="center" vertical="center"/>
    </xf>
    <xf numFmtId="0" fontId="5" fillId="3" borderId="13" xfId="0" applyFont="true" applyFill="true" applyBorder="true" applyAlignment="true">
      <alignment horizontal="center" vertical="center"/>
    </xf>
    <xf numFmtId="0" fontId="5" fillId="3" borderId="1" xfId="0" applyFont="true" applyFill="true" applyBorder="true" applyAlignment="true">
      <alignment horizontal="center" vertical="center"/>
    </xf>
    <xf numFmtId="0" fontId="5" fillId="3" borderId="1" xfId="0" applyFont="true" applyFill="true" applyBorder="true" applyAlignment="true">
      <alignment vertical="center"/>
    </xf>
    <xf numFmtId="0" fontId="0" fillId="0" borderId="5" xfId="0" applyFont="true" applyFill="true" applyBorder="true" applyAlignment="true">
      <alignment horizontal="center" vertical="center"/>
    </xf>
    <xf numFmtId="0" fontId="0" fillId="0" borderId="6" xfId="0" applyFont="true" applyFill="true" applyBorder="true" applyAlignment="true">
      <alignment horizontal="center" vertical="center"/>
    </xf>
    <xf numFmtId="14" fontId="4" fillId="0" borderId="4" xfId="0" applyNumberFormat="true" applyFont="true" applyFill="true" applyBorder="true" applyAlignment="true">
      <alignment horizontal="center" vertical="center"/>
    </xf>
    <xf numFmtId="0" fontId="6" fillId="0" borderId="5" xfId="0" applyFont="true" applyFill="true" applyBorder="true" applyAlignment="true">
      <alignment horizontal="center" vertical="center" wrapText="true"/>
    </xf>
    <xf numFmtId="0" fontId="6" fillId="0" borderId="6" xfId="0" applyFont="true" applyFill="true" applyBorder="true" applyAlignment="true">
      <alignment horizontal="center" vertical="center" wrapText="true"/>
    </xf>
    <xf numFmtId="0" fontId="0" fillId="0" borderId="8" xfId="0" applyFont="true" applyFill="true" applyBorder="true" applyAlignment="true">
      <alignment horizontal="center" vertical="center"/>
    </xf>
    <xf numFmtId="0" fontId="0" fillId="0" borderId="9" xfId="0" applyFont="true" applyFill="true" applyBorder="true" applyAlignment="true">
      <alignment horizontal="center" vertical="center"/>
    </xf>
    <xf numFmtId="14" fontId="4" fillId="0" borderId="7" xfId="0" applyNumberFormat="true" applyFont="true" applyFill="true" applyBorder="true" applyAlignment="true">
      <alignment horizontal="center" vertical="center"/>
    </xf>
    <xf numFmtId="0" fontId="6" fillId="0" borderId="8" xfId="0" applyFont="true" applyFill="true" applyBorder="true" applyAlignment="true">
      <alignment horizontal="center" vertical="center" wrapText="true"/>
    </xf>
    <xf numFmtId="0" fontId="6" fillId="0" borderId="9" xfId="0" applyFont="true" applyFill="true" applyBorder="true" applyAlignment="true">
      <alignment horizontal="center" vertical="center" wrapText="true"/>
    </xf>
    <xf numFmtId="0" fontId="0" fillId="0" borderId="11" xfId="0" applyFont="true" applyFill="true" applyBorder="true" applyAlignment="true">
      <alignment horizontal="center" vertical="center"/>
    </xf>
    <xf numFmtId="0" fontId="0" fillId="0" borderId="12" xfId="0" applyFont="true" applyFill="true" applyBorder="true" applyAlignment="true">
      <alignment horizontal="center" vertical="center"/>
    </xf>
    <xf numFmtId="14" fontId="4" fillId="0" borderId="10" xfId="0" applyNumberFormat="true" applyFont="true" applyFill="true" applyBorder="true" applyAlignment="true">
      <alignment horizontal="center" vertical="center"/>
    </xf>
    <xf numFmtId="0" fontId="6" fillId="0" borderId="11" xfId="0" applyFont="true" applyFill="true" applyBorder="true" applyAlignment="true">
      <alignment horizontal="center" vertical="center" wrapText="true"/>
    </xf>
    <xf numFmtId="0" fontId="6" fillId="0" borderId="12" xfId="0" applyFont="true" applyFill="true" applyBorder="true" applyAlignment="true">
      <alignment horizontal="center" vertical="center" wrapText="true"/>
    </xf>
    <xf numFmtId="14" fontId="2" fillId="2" borderId="3" xfId="0" applyNumberFormat="true" applyFont="true" applyFill="true" applyBorder="true" applyAlignment="true">
      <alignment horizontal="center" vertical="center"/>
    </xf>
    <xf numFmtId="0" fontId="3" fillId="3" borderId="14" xfId="0" applyFont="true" applyFill="true" applyBorder="true" applyAlignment="true">
      <alignment horizontal="center" vertical="center" wrapText="true"/>
    </xf>
    <xf numFmtId="0" fontId="3" fillId="3" borderId="15" xfId="0" applyFont="true" applyFill="true" applyBorder="true" applyAlignment="true">
      <alignment horizontal="center" vertical="center" wrapText="true"/>
    </xf>
    <xf numFmtId="0" fontId="7" fillId="3" borderId="13" xfId="0" applyFont="true" applyFill="true" applyBorder="true" applyAlignment="true">
      <alignment horizontal="center" vertical="center" wrapText="true"/>
    </xf>
    <xf numFmtId="0" fontId="7" fillId="3" borderId="1" xfId="0" applyFont="true" applyFill="true" applyBorder="true" applyAlignment="true">
      <alignment horizontal="center" vertical="center" wrapText="true"/>
    </xf>
    <xf numFmtId="7" fontId="4" fillId="0" borderId="4" xfId="0" applyNumberFormat="true" applyFont="true" applyFill="true" applyBorder="true" applyAlignment="true">
      <alignment horizontal="center" vertical="center"/>
    </xf>
    <xf numFmtId="0" fontId="0" fillId="0" borderId="1" xfId="0" applyFill="true" applyBorder="true" applyAlignment="true">
      <alignment horizontal="center" vertical="center"/>
    </xf>
    <xf numFmtId="7" fontId="4" fillId="0" borderId="1" xfId="0" applyNumberFormat="true" applyFont="true" applyFill="true" applyBorder="true" applyAlignment="true">
      <alignment horizontal="center" vertical="center"/>
    </xf>
    <xf numFmtId="7" fontId="4" fillId="0" borderId="7" xfId="0" applyNumberFormat="true" applyFont="true" applyFill="true" applyBorder="true" applyAlignment="true">
      <alignment horizontal="center" vertical="center"/>
    </xf>
    <xf numFmtId="7" fontId="4" fillId="0" borderId="10" xfId="0" applyNumberFormat="true" applyFont="true" applyFill="true" applyBorder="true" applyAlignment="true">
      <alignment horizontal="center" vertical="center"/>
    </xf>
    <xf numFmtId="0" fontId="8" fillId="0" borderId="1" xfId="0" applyFont="true" applyFill="true" applyBorder="true" applyAlignment="true">
      <alignment horizontal="center" vertical="center"/>
    </xf>
    <xf numFmtId="0" fontId="9" fillId="0" borderId="1" xfId="0" applyFont="true" applyFill="true" applyBorder="true" applyAlignment="true">
      <alignment horizontal="center" vertical="center"/>
    </xf>
    <xf numFmtId="7" fontId="9" fillId="0" borderId="1" xfId="0" applyNumberFormat="true" applyFont="true" applyFill="true" applyBorder="true" applyAlignment="true">
      <alignment horizontal="center" vertical="center"/>
    </xf>
    <xf numFmtId="0" fontId="10" fillId="0" borderId="1" xfId="0" applyFont="true" applyFill="true" applyBorder="true" applyAlignment="true">
      <alignment horizontal="center" vertical="center"/>
    </xf>
    <xf numFmtId="0" fontId="9" fillId="0" borderId="0" xfId="0" applyFont="true" applyFill="true" applyAlignment="true">
      <alignment horizontal="center" vertical="center"/>
    </xf>
    <xf numFmtId="0" fontId="5" fillId="3" borderId="5" xfId="0" applyFont="true" applyFill="true" applyBorder="true" applyAlignment="true">
      <alignment horizontal="center" vertical="center"/>
    </xf>
    <xf numFmtId="0" fontId="5" fillId="3" borderId="14" xfId="0" applyFont="true" applyFill="true" applyBorder="true" applyAlignment="true">
      <alignment horizontal="center" vertical="center"/>
    </xf>
    <xf numFmtId="0" fontId="0" fillId="0" borderId="4" xfId="0" applyFont="true" applyFill="true" applyBorder="true" applyAlignment="true">
      <alignment horizontal="center" vertical="center"/>
    </xf>
    <xf numFmtId="0" fontId="0" fillId="0" borderId="5" xfId="0" applyFill="true" applyBorder="true" applyAlignment="true">
      <alignment horizontal="center" vertical="center" wrapText="true"/>
    </xf>
    <xf numFmtId="0" fontId="0" fillId="0" borderId="6" xfId="0" applyFill="true" applyBorder="true" applyAlignment="true">
      <alignment horizontal="center" vertical="center" wrapText="true"/>
    </xf>
    <xf numFmtId="0" fontId="0" fillId="0" borderId="14" xfId="0" applyFill="true" applyBorder="true" applyAlignment="true">
      <alignment horizontal="center" vertical="center" wrapText="true"/>
    </xf>
    <xf numFmtId="0" fontId="0" fillId="0" borderId="8" xfId="0" applyFill="true" applyBorder="true" applyAlignment="true">
      <alignment horizontal="center" vertical="center" wrapText="true"/>
    </xf>
    <xf numFmtId="0" fontId="0" fillId="0" borderId="9" xfId="0" applyFill="true" applyBorder="true" applyAlignment="true">
      <alignment horizontal="center" vertical="center" wrapText="true"/>
    </xf>
    <xf numFmtId="0" fontId="0" fillId="0" borderId="0" xfId="0" applyFill="true" applyAlignment="true">
      <alignment horizontal="center" vertical="center" wrapText="true"/>
    </xf>
    <xf numFmtId="0" fontId="0" fillId="0" borderId="11" xfId="0" applyFill="true" applyBorder="true" applyAlignment="true">
      <alignment horizontal="center" vertical="center" wrapText="true"/>
    </xf>
    <xf numFmtId="0" fontId="0" fillId="0" borderId="12" xfId="0" applyFill="true" applyBorder="true" applyAlignment="true">
      <alignment horizontal="center" vertical="center" wrapText="true"/>
    </xf>
    <xf numFmtId="0" fontId="0" fillId="0" borderId="15" xfId="0" applyFill="true" applyBorder="true" applyAlignment="true">
      <alignment horizontal="center" vertical="center" wrapText="true"/>
    </xf>
    <xf numFmtId="0" fontId="1" fillId="0" borderId="13" xfId="0" applyFont="true" applyFill="true" applyBorder="true" applyAlignment="true">
      <alignment vertical="center"/>
    </xf>
    <xf numFmtId="0" fontId="0" fillId="0" borderId="13" xfId="0" applyFill="true" applyBorder="true" applyAlignment="true">
      <alignment vertical="center"/>
    </xf>
    <xf numFmtId="7" fontId="10" fillId="0" borderId="1" xfId="0" applyNumberFormat="true" applyFont="true" applyFill="true" applyBorder="true" applyAlignment="true">
      <alignment horizontal="center" vertical="center"/>
    </xf>
    <xf numFmtId="0" fontId="0" fillId="0" borderId="8" xfId="0" applyFill="true" applyBorder="true" applyAlignment="true">
      <alignment horizontal="center" vertical="center"/>
    </xf>
    <xf numFmtId="0" fontId="0" fillId="0" borderId="11" xfId="0" applyFill="true" applyBorder="true" applyAlignment="true">
      <alignment horizontal="center" vertical="center"/>
    </xf>
    <xf numFmtId="0" fontId="1" fillId="0" borderId="0" xfId="0" applyFont="true" applyFill="true" applyAlignment="true">
      <alignment vertical="center"/>
    </xf>
    <xf numFmtId="0" fontId="5" fillId="3" borderId="3" xfId="0" applyFont="true" applyFill="true" applyBorder="true" applyAlignment="true">
      <alignment horizontal="center" vertical="center"/>
    </xf>
    <xf numFmtId="0" fontId="0" fillId="0" borderId="0" xfId="0" applyFill="true" applyBorder="true" applyAlignment="true">
      <alignment horizontal="center" vertical="center" wrapText="true"/>
    </xf>
    <xf numFmtId="176" fontId="4" fillId="0" borderId="4" xfId="0" applyNumberFormat="true" applyFont="true" applyFill="true" applyBorder="true" applyAlignment="true">
      <alignment horizontal="center" vertical="center"/>
    </xf>
    <xf numFmtId="176" fontId="4" fillId="0" borderId="7" xfId="0" applyNumberFormat="true" applyFont="true" applyFill="true" applyBorder="true" applyAlignment="true">
      <alignment horizontal="center" vertical="center"/>
    </xf>
    <xf numFmtId="176" fontId="4" fillId="0" borderId="10" xfId="0" applyNumberFormat="true" applyFont="true" applyFill="true" applyBorder="true" applyAlignment="true">
      <alignment horizontal="center" vertical="center"/>
    </xf>
    <xf numFmtId="0" fontId="0" fillId="0" borderId="5" xfId="0" applyFont="true" applyFill="true" applyBorder="true" applyAlignment="true">
      <alignment horizontal="center" vertical="center" wrapText="true"/>
    </xf>
    <xf numFmtId="14" fontId="4" fillId="0" borderId="1" xfId="0" applyNumberFormat="true" applyFont="true" applyFill="true" applyBorder="true" applyAlignment="true">
      <alignment vertical="center"/>
    </xf>
    <xf numFmtId="14" fontId="2" fillId="2" borderId="3" xfId="0" applyNumberFormat="true" applyFont="true" applyFill="true" applyBorder="true" applyAlignment="true">
      <alignment horizontal="center" vertical="center" wrapText="true"/>
    </xf>
    <xf numFmtId="0" fontId="2" fillId="2" borderId="3" xfId="0" applyFont="true" applyFill="true" applyBorder="true" applyAlignment="true">
      <alignment horizontal="center" vertical="center" wrapText="true"/>
    </xf>
    <xf numFmtId="0" fontId="0" fillId="0" borderId="2" xfId="0" quotePrefix="true" applyFill="true" applyBorder="true" applyAlignment="true">
      <alignment horizontal="center" vertical="center"/>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dxfs count="17">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PivotStyle="PivotStylePreset2_Accent1" defaultTableStyle="TableStylePreset3_Accent1">
    <tableStyle name="TableStylePreset3_Accent1" pivot="0" count="7">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 name="PivotStylePreset2_Accent1" pivot="0" count="10">
      <tableStyleElement type="headerRow" dxfId="16"/>
      <tableStyleElement type="totalRow" dxfId="15"/>
      <tableStyleElement type="firstRowStripe" dxfId="14"/>
      <tableStyleElement type="firstColumnStripe" dxfId="13"/>
      <tableStyleElement type="firstSubtotalRow" dxfId="12"/>
      <tableStyleElement type="secondSubtotalRow" dxfId="11"/>
      <tableStyleElement type="firstRowSubheading" dxfId="10"/>
      <tableStyleElement type="secondRowSubheading" dxfId="9"/>
      <tableStyleElement type="pageFieldLabels" dxfId="8"/>
      <tableStyleElement type="pageFieldValues" dxfId="7"/>
    </tableStyle>
  </tableStyles>
  <extLst>
    <ext xmlns:x14="http://schemas.microsoft.com/office/spreadsheetml/2009/9/main" uri="{EB79DEF2-80B8-43e5-95BD-54CBDDF9020C}">
      <x14:slicerStyles defaultSlicerStyle="SlicerStyleLight1"/>
    </ext>
  </extLst>
</styleSheet>
</file>

<file path=xl/_rels/cellimages.xml.rels><?xml version="1.0" encoding="UTF-8" standalone="yes"?>
<Relationships xmlns="http://schemas.openxmlformats.org/package/2006/relationships"><Relationship Id="rId99" Type="http://schemas.openxmlformats.org/officeDocument/2006/relationships/image" Target="media/image99.jpeg"/><Relationship Id="rId98" Type="http://schemas.openxmlformats.org/officeDocument/2006/relationships/image" Target="media/image98.jpeg"/><Relationship Id="rId97" Type="http://schemas.openxmlformats.org/officeDocument/2006/relationships/image" Target="media/image97.jpeg"/><Relationship Id="rId96" Type="http://schemas.openxmlformats.org/officeDocument/2006/relationships/image" Target="media/image96.jpeg"/><Relationship Id="rId95" Type="http://schemas.openxmlformats.org/officeDocument/2006/relationships/image" Target="media/image95.jpeg"/><Relationship Id="rId94" Type="http://schemas.openxmlformats.org/officeDocument/2006/relationships/image" Target="media/image94.jpeg"/><Relationship Id="rId93" Type="http://schemas.openxmlformats.org/officeDocument/2006/relationships/image" Target="media/image93.jpeg"/><Relationship Id="rId92" Type="http://schemas.openxmlformats.org/officeDocument/2006/relationships/image" Target="media/image92.jpeg"/><Relationship Id="rId91" Type="http://schemas.openxmlformats.org/officeDocument/2006/relationships/image" Target="media/image91.jpeg"/><Relationship Id="rId90" Type="http://schemas.openxmlformats.org/officeDocument/2006/relationships/image" Target="media/image90.jpeg"/><Relationship Id="rId9" Type="http://schemas.openxmlformats.org/officeDocument/2006/relationships/image" Target="media/image9.jpeg"/><Relationship Id="rId89" Type="http://schemas.openxmlformats.org/officeDocument/2006/relationships/image" Target="media/image89.jpeg"/><Relationship Id="rId88" Type="http://schemas.openxmlformats.org/officeDocument/2006/relationships/image" Target="media/image88.jpeg"/><Relationship Id="rId87" Type="http://schemas.openxmlformats.org/officeDocument/2006/relationships/image" Target="media/image87.jpeg"/><Relationship Id="rId86" Type="http://schemas.openxmlformats.org/officeDocument/2006/relationships/image" Target="media/image86.jpeg"/><Relationship Id="rId85" Type="http://schemas.openxmlformats.org/officeDocument/2006/relationships/image" Target="media/image85.png"/><Relationship Id="rId84" Type="http://schemas.openxmlformats.org/officeDocument/2006/relationships/image" Target="media/image84.jpeg"/><Relationship Id="rId83" Type="http://schemas.openxmlformats.org/officeDocument/2006/relationships/image" Target="media/image83.png"/><Relationship Id="rId82" Type="http://schemas.openxmlformats.org/officeDocument/2006/relationships/image" Target="media/image82.jpeg"/><Relationship Id="rId81" Type="http://schemas.openxmlformats.org/officeDocument/2006/relationships/image" Target="media/image81.png"/><Relationship Id="rId80" Type="http://schemas.openxmlformats.org/officeDocument/2006/relationships/image" Target="media/image80.jpeg"/><Relationship Id="rId8" Type="http://schemas.openxmlformats.org/officeDocument/2006/relationships/image" Target="media/image8.jpeg"/><Relationship Id="rId79" Type="http://schemas.openxmlformats.org/officeDocument/2006/relationships/image" Target="media/image79.jpeg"/><Relationship Id="rId78" Type="http://schemas.openxmlformats.org/officeDocument/2006/relationships/image" Target="media/image78.png"/><Relationship Id="rId77" Type="http://schemas.openxmlformats.org/officeDocument/2006/relationships/image" Target="media/image77.jpeg"/><Relationship Id="rId76" Type="http://schemas.openxmlformats.org/officeDocument/2006/relationships/image" Target="media/image76.png"/><Relationship Id="rId75" Type="http://schemas.openxmlformats.org/officeDocument/2006/relationships/image" Target="media/image75.jpeg"/><Relationship Id="rId74" Type="http://schemas.openxmlformats.org/officeDocument/2006/relationships/image" Target="media/image74.png"/><Relationship Id="rId73" Type="http://schemas.openxmlformats.org/officeDocument/2006/relationships/image" Target="media/image73.jpeg"/><Relationship Id="rId72" Type="http://schemas.openxmlformats.org/officeDocument/2006/relationships/image" Target="media/image72.jpeg"/><Relationship Id="rId71" Type="http://schemas.openxmlformats.org/officeDocument/2006/relationships/image" Target="media/image71.jpeg"/><Relationship Id="rId70" Type="http://schemas.openxmlformats.org/officeDocument/2006/relationships/image" Target="media/image70.jpeg"/><Relationship Id="rId7" Type="http://schemas.openxmlformats.org/officeDocument/2006/relationships/image" Target="media/image7.png"/><Relationship Id="rId69" Type="http://schemas.openxmlformats.org/officeDocument/2006/relationships/image" Target="media/image69.jpeg"/><Relationship Id="rId68" Type="http://schemas.openxmlformats.org/officeDocument/2006/relationships/image" Target="media/image68.jpeg"/><Relationship Id="rId67" Type="http://schemas.openxmlformats.org/officeDocument/2006/relationships/image" Target="media/image67.jpeg"/><Relationship Id="rId66" Type="http://schemas.openxmlformats.org/officeDocument/2006/relationships/image" Target="media/image66.jpeg"/><Relationship Id="rId65" Type="http://schemas.openxmlformats.org/officeDocument/2006/relationships/image" Target="media/image65.jpeg"/><Relationship Id="rId64" Type="http://schemas.openxmlformats.org/officeDocument/2006/relationships/image" Target="media/image64.jpeg"/><Relationship Id="rId63" Type="http://schemas.openxmlformats.org/officeDocument/2006/relationships/image" Target="media/image63.jpeg"/><Relationship Id="rId62" Type="http://schemas.openxmlformats.org/officeDocument/2006/relationships/image" Target="media/image62.jpeg"/><Relationship Id="rId61" Type="http://schemas.openxmlformats.org/officeDocument/2006/relationships/image" Target="media/image61.jpeg"/><Relationship Id="rId60" Type="http://schemas.openxmlformats.org/officeDocument/2006/relationships/image" Target="media/image60.jpeg"/><Relationship Id="rId6" Type="http://schemas.openxmlformats.org/officeDocument/2006/relationships/image" Target="media/image6.png"/><Relationship Id="rId59" Type="http://schemas.openxmlformats.org/officeDocument/2006/relationships/image" Target="media/image59.jpeg"/><Relationship Id="rId58" Type="http://schemas.openxmlformats.org/officeDocument/2006/relationships/image" Target="media/image58.png"/><Relationship Id="rId57" Type="http://schemas.openxmlformats.org/officeDocument/2006/relationships/image" Target="media/image57.png"/><Relationship Id="rId56" Type="http://schemas.openxmlformats.org/officeDocument/2006/relationships/image" Target="media/image56.jpeg"/><Relationship Id="rId55" Type="http://schemas.openxmlformats.org/officeDocument/2006/relationships/image" Target="media/image55.jpeg"/><Relationship Id="rId54" Type="http://schemas.openxmlformats.org/officeDocument/2006/relationships/image" Target="media/image54.jpeg"/><Relationship Id="rId53" Type="http://schemas.openxmlformats.org/officeDocument/2006/relationships/image" Target="media/image53.jpeg"/><Relationship Id="rId52" Type="http://schemas.openxmlformats.org/officeDocument/2006/relationships/image" Target="media/image52.png"/><Relationship Id="rId51" Type="http://schemas.openxmlformats.org/officeDocument/2006/relationships/image" Target="media/image51.jpeg"/><Relationship Id="rId50" Type="http://schemas.openxmlformats.org/officeDocument/2006/relationships/image" Target="media/image50.jpeg"/><Relationship Id="rId5" Type="http://schemas.openxmlformats.org/officeDocument/2006/relationships/image" Target="media/image5.jpeg"/><Relationship Id="rId49" Type="http://schemas.openxmlformats.org/officeDocument/2006/relationships/image" Target="media/image49.jpeg"/><Relationship Id="rId48" Type="http://schemas.openxmlformats.org/officeDocument/2006/relationships/image" Target="media/image48.jpeg"/><Relationship Id="rId47" Type="http://schemas.openxmlformats.org/officeDocument/2006/relationships/image" Target="media/image47.jpeg"/><Relationship Id="rId46" Type="http://schemas.openxmlformats.org/officeDocument/2006/relationships/image" Target="media/image46.jpeg"/><Relationship Id="rId45" Type="http://schemas.openxmlformats.org/officeDocument/2006/relationships/image" Target="media/image45.jpeg"/><Relationship Id="rId44" Type="http://schemas.openxmlformats.org/officeDocument/2006/relationships/image" Target="media/image44.png"/><Relationship Id="rId43" Type="http://schemas.openxmlformats.org/officeDocument/2006/relationships/image" Target="media/image43.jpeg"/><Relationship Id="rId42" Type="http://schemas.openxmlformats.org/officeDocument/2006/relationships/image" Target="media/image42.jpeg"/><Relationship Id="rId41" Type="http://schemas.openxmlformats.org/officeDocument/2006/relationships/image" Target="media/image41.jpeg"/><Relationship Id="rId40" Type="http://schemas.openxmlformats.org/officeDocument/2006/relationships/image" Target="media/image40.jpeg"/><Relationship Id="rId4" Type="http://schemas.openxmlformats.org/officeDocument/2006/relationships/image" Target="media/image4.jpeg"/><Relationship Id="rId39" Type="http://schemas.openxmlformats.org/officeDocument/2006/relationships/image" Target="media/image39.jpeg"/><Relationship Id="rId38" Type="http://schemas.openxmlformats.org/officeDocument/2006/relationships/image" Target="media/image38.png"/><Relationship Id="rId37" Type="http://schemas.openxmlformats.org/officeDocument/2006/relationships/image" Target="media/image37.jpeg"/><Relationship Id="rId36" Type="http://schemas.openxmlformats.org/officeDocument/2006/relationships/image" Target="media/image36.jpeg"/><Relationship Id="rId35" Type="http://schemas.openxmlformats.org/officeDocument/2006/relationships/image" Target="media/image35.jpeg"/><Relationship Id="rId34" Type="http://schemas.openxmlformats.org/officeDocument/2006/relationships/image" Target="media/image34.jpeg"/><Relationship Id="rId33" Type="http://schemas.openxmlformats.org/officeDocument/2006/relationships/image" Target="media/image33.jpeg"/><Relationship Id="rId32" Type="http://schemas.openxmlformats.org/officeDocument/2006/relationships/image" Target="media/image32.jpeg"/><Relationship Id="rId31" Type="http://schemas.openxmlformats.org/officeDocument/2006/relationships/image" Target="media/image31.jpeg"/><Relationship Id="rId30" Type="http://schemas.openxmlformats.org/officeDocument/2006/relationships/image" Target="media/image30.png"/><Relationship Id="rId3" Type="http://schemas.openxmlformats.org/officeDocument/2006/relationships/image" Target="media/image3.jpeg"/><Relationship Id="rId29" Type="http://schemas.openxmlformats.org/officeDocument/2006/relationships/image" Target="media/image29.jpeg"/><Relationship Id="rId28" Type="http://schemas.openxmlformats.org/officeDocument/2006/relationships/image" Target="media/image28.jpeg"/><Relationship Id="rId27" Type="http://schemas.openxmlformats.org/officeDocument/2006/relationships/image" Target="media/image27.png"/><Relationship Id="rId26" Type="http://schemas.openxmlformats.org/officeDocument/2006/relationships/image" Target="media/image26.jpeg"/><Relationship Id="rId25" Type="http://schemas.openxmlformats.org/officeDocument/2006/relationships/image" Target="media/image25.jpeg"/><Relationship Id="rId24" Type="http://schemas.openxmlformats.org/officeDocument/2006/relationships/image" Target="media/image24.jpeg"/><Relationship Id="rId23" Type="http://schemas.openxmlformats.org/officeDocument/2006/relationships/image" Target="media/image23.jpeg"/><Relationship Id="rId22" Type="http://schemas.openxmlformats.org/officeDocument/2006/relationships/image" Target="media/image22.jpeg"/><Relationship Id="rId21" Type="http://schemas.openxmlformats.org/officeDocument/2006/relationships/image" Target="media/image21.jpeg"/><Relationship Id="rId20" Type="http://schemas.openxmlformats.org/officeDocument/2006/relationships/image" Target="media/image20.jpeg"/><Relationship Id="rId2" Type="http://schemas.openxmlformats.org/officeDocument/2006/relationships/image" Target="media/image2.jpeg"/><Relationship Id="rId19" Type="http://schemas.openxmlformats.org/officeDocument/2006/relationships/image" Target="media/image19.jpeg"/><Relationship Id="rId18" Type="http://schemas.openxmlformats.org/officeDocument/2006/relationships/image" Target="media/image18.jpeg"/><Relationship Id="rId17" Type="http://schemas.openxmlformats.org/officeDocument/2006/relationships/image" Target="media/image17.jpeg"/><Relationship Id="rId16" Type="http://schemas.openxmlformats.org/officeDocument/2006/relationships/image" Target="media/image16.jpeg"/><Relationship Id="rId15" Type="http://schemas.openxmlformats.org/officeDocument/2006/relationships/image" Target="media/image15.png"/><Relationship Id="rId14" Type="http://schemas.openxmlformats.org/officeDocument/2006/relationships/image" Target="media/image14.png"/><Relationship Id="rId13" Type="http://schemas.openxmlformats.org/officeDocument/2006/relationships/image" Target="media/image13.jpeg"/><Relationship Id="rId125" Type="http://schemas.openxmlformats.org/officeDocument/2006/relationships/image" Target="media/image125.jpeg"/><Relationship Id="rId124" Type="http://schemas.openxmlformats.org/officeDocument/2006/relationships/image" Target="media/image124.jpeg"/><Relationship Id="rId123" Type="http://schemas.openxmlformats.org/officeDocument/2006/relationships/image" Target="media/image123.jpeg"/><Relationship Id="rId122" Type="http://schemas.openxmlformats.org/officeDocument/2006/relationships/image" Target="media/image122.jpeg"/><Relationship Id="rId121" Type="http://schemas.openxmlformats.org/officeDocument/2006/relationships/image" Target="media/image121.jpeg"/><Relationship Id="rId120" Type="http://schemas.openxmlformats.org/officeDocument/2006/relationships/image" Target="media/image120.jpeg"/><Relationship Id="rId12" Type="http://schemas.openxmlformats.org/officeDocument/2006/relationships/image" Target="media/image12.png"/><Relationship Id="rId119" Type="http://schemas.openxmlformats.org/officeDocument/2006/relationships/image" Target="media/image119.jpeg"/><Relationship Id="rId118" Type="http://schemas.openxmlformats.org/officeDocument/2006/relationships/image" Target="media/image118.jpeg"/><Relationship Id="rId117" Type="http://schemas.openxmlformats.org/officeDocument/2006/relationships/image" Target="media/image117.jpeg"/><Relationship Id="rId116" Type="http://schemas.openxmlformats.org/officeDocument/2006/relationships/image" Target="media/image116.jpeg"/><Relationship Id="rId115" Type="http://schemas.openxmlformats.org/officeDocument/2006/relationships/image" Target="media/image115.jpeg"/><Relationship Id="rId114" Type="http://schemas.openxmlformats.org/officeDocument/2006/relationships/image" Target="media/image114.jpeg"/><Relationship Id="rId113" Type="http://schemas.openxmlformats.org/officeDocument/2006/relationships/image" Target="media/image113.jpeg"/><Relationship Id="rId112" Type="http://schemas.openxmlformats.org/officeDocument/2006/relationships/image" Target="media/image112.jpeg"/><Relationship Id="rId111" Type="http://schemas.openxmlformats.org/officeDocument/2006/relationships/image" Target="media/image111.jpeg"/><Relationship Id="rId110" Type="http://schemas.openxmlformats.org/officeDocument/2006/relationships/image" Target="media/image110.jpeg"/><Relationship Id="rId11" Type="http://schemas.openxmlformats.org/officeDocument/2006/relationships/image" Target="media/image11.jpeg"/><Relationship Id="rId109" Type="http://schemas.openxmlformats.org/officeDocument/2006/relationships/image" Target="media/image109.jpeg"/><Relationship Id="rId108" Type="http://schemas.openxmlformats.org/officeDocument/2006/relationships/image" Target="media/image108.jpeg"/><Relationship Id="rId107" Type="http://schemas.openxmlformats.org/officeDocument/2006/relationships/image" Target="media/image107.jpeg"/><Relationship Id="rId106" Type="http://schemas.openxmlformats.org/officeDocument/2006/relationships/image" Target="media/image106.jpeg"/><Relationship Id="rId105" Type="http://schemas.openxmlformats.org/officeDocument/2006/relationships/image" Target="media/image105.jpeg"/><Relationship Id="rId104" Type="http://schemas.openxmlformats.org/officeDocument/2006/relationships/image" Target="media/image104.jpeg"/><Relationship Id="rId103" Type="http://schemas.openxmlformats.org/officeDocument/2006/relationships/image" Target="media/image103.jpeg"/><Relationship Id="rId102" Type="http://schemas.openxmlformats.org/officeDocument/2006/relationships/image" Target="media/image102.jpeg"/><Relationship Id="rId101" Type="http://schemas.openxmlformats.org/officeDocument/2006/relationships/image" Target="media/image101.jpeg"/><Relationship Id="rId100" Type="http://schemas.openxmlformats.org/officeDocument/2006/relationships/image" Target="media/image100.jpeg"/><Relationship Id="rId10" Type="http://schemas.openxmlformats.org/officeDocument/2006/relationships/image" Target="media/image10.png"/><Relationship Id="rId1" Type="http://schemas.openxmlformats.org/officeDocument/2006/relationships/image" Target="media/image1.png"/></Relationships>
</file>

<file path=xl/_rels/workbook.xml.rels><?xml version="1.0" encoding="UTF-8"?>
<Relationships xmlns="http://schemas.openxmlformats.org/package/2006/relationships"><Relationship Id="rId9" Target="worksheets/sheet9.xml" Type="http://schemas.openxmlformats.org/officeDocument/2006/relationships/worksheet"></Relationship><Relationship Id="rId8" Target="worksheets/sheet8.xml" Type="http://schemas.openxmlformats.org/officeDocument/2006/relationships/worksheet"></Relationship><Relationship Id="rId7" Target="worksheets/sheet7.xml" Type="http://schemas.openxmlformats.org/officeDocument/2006/relationships/worksheet"></Relationship><Relationship Id="rId6" Target="worksheets/sheet6.xml" Type="http://schemas.openxmlformats.org/officeDocument/2006/relationships/worksheet"></Relationship><Relationship Id="rId5" Target="worksheets/sheet5.xml" Type="http://schemas.openxmlformats.org/officeDocument/2006/relationships/worksheet"></Relationship><Relationship Id="rId4" Target="worksheets/sheet4.xml" Type="http://schemas.openxmlformats.org/officeDocument/2006/relationships/worksheet"></Relationship><Relationship Id="rId3" Target="worksheets/sheet3.xml" Type="http://schemas.openxmlformats.org/officeDocument/2006/relationships/worksheet"></Relationship><Relationship Id="rId23" Target="styles.xml" Type="http://schemas.openxmlformats.org/officeDocument/2006/relationships/styles"></Relationship><Relationship Id="rId22" Target="cellimages.xml" Type="http://www.wps.cn/officeDocument/2020/cellImage"></Relationship><Relationship Id="rId21" Target="metadata.xml" Type="http://schemas.openxmlformats.org/officeDocument/2006/relationships/sheetMetadata"></Relationship><Relationship Id="rId20" Target="/xl/sharedStrings.xml" Type="http://schemas.openxmlformats.org/officeDocument/2006/relationships/sharedStrings"></Relationship><Relationship Id="rId2" Target="worksheets/sheet2.xml" Type="http://schemas.openxmlformats.org/officeDocument/2006/relationships/worksheet"></Relationship><Relationship Id="rId19" Target="theme/theme1.xml" Type="http://schemas.openxmlformats.org/officeDocument/2006/relationships/theme"></Relationship><Relationship Id="rId18" Target="worksheets/sheet18.xml" Type="http://schemas.openxmlformats.org/officeDocument/2006/relationships/worksheet"></Relationship><Relationship Id="rId17" Target="worksheets/sheet17.xml" Type="http://schemas.openxmlformats.org/officeDocument/2006/relationships/worksheet"></Relationship><Relationship Id="rId16" Target="worksheets/sheet16.xml" Type="http://schemas.openxmlformats.org/officeDocument/2006/relationships/worksheet"></Relationship><Relationship Id="rId15" Target="worksheets/sheet15.xml" Type="http://schemas.openxmlformats.org/officeDocument/2006/relationships/worksheet"></Relationship><Relationship Id="rId14" Target="worksheets/sheet14.xml" Type="http://schemas.openxmlformats.org/officeDocument/2006/relationships/worksheet"></Relationship><Relationship Id="rId13" Target="worksheets/sheet13.xml" Type="http://schemas.openxmlformats.org/officeDocument/2006/relationships/worksheet"></Relationship><Relationship Id="rId12" Target="worksheets/sheet12.xml" Type="http://schemas.openxmlformats.org/officeDocument/2006/relationships/worksheet"></Relationship><Relationship Id="rId11" Target="worksheets/sheet11.xml" Type="http://schemas.openxmlformats.org/officeDocument/2006/relationships/worksheet"></Relationship><Relationship Id="rId10" Target="worksheets/sheet10.xml" Type="http://schemas.openxmlformats.org/officeDocument/2006/relationships/worksheet"></Relationship><Relationship Id="rId1" Target="worksheets/sheet1.xml" Type="http://schemas.openxmlformats.org/officeDocument/2006/relationships/worksheet"></Relationship></Relationships>
</file>

<file path=xl/theme/theme1.xml><?xml version="1.0" encoding="utf-8"?>
<a:theme xmlns:a="http://schemas.openxmlformats.org/drawingml/2006/main" xmlns:r="http://schemas.openxmlformats.org/officeDocument/2006/relationships" name="WPS">
  <a:themeElements>
    <a:clrScheme name="WPS">
      <a:dk1>
        <a:sysClr val="windowText" lastClr="000000"/>
      </a:dk1>
      <a:lt1>
        <a:sysClr val="window" lastClr="FFFFFF"/>
      </a:lt1>
      <a:dk2>
        <a:srgbClr val="44546A"/>
      </a:dk2>
      <a:lt2>
        <a:srgbClr val="E7E6E6"/>
      </a:lt2>
      <a:accent1>
        <a:srgbClr val="4874CB"/>
      </a:accent1>
      <a:accent2>
        <a:srgbClr val="EE822F"/>
      </a:accent2>
      <a:accent3>
        <a:srgbClr val="F2BA02"/>
      </a:accent3>
      <a:accent4>
        <a:srgbClr val="75BD42"/>
      </a:accent4>
      <a:accent5>
        <a:srgbClr val="30C0B4"/>
      </a:accent5>
      <a:accent6>
        <a:srgbClr val="E54C5E"/>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U87"/>
  <sheetViews>
    <sheetView topLeftCell="A64" zoomScale="85" zoomScaleNormal="85" workbookViewId="0">
      <selection activeCell="K81" sqref="K81:L87"/>
    </sheetView>
  </sheetViews>
  <sheetFormatPr defaultColWidth="8.55555555555556" defaultRowHeight="14.4"/>
  <cols>
    <col customWidth="true" max="1" min="1" style="3" width="7"/>
    <col customWidth="true" max="2" min="2" style="3" width="8.77777777777778"/>
    <col customWidth="true" max="3" min="3" style="3" width="18.6388888888889"/>
    <col customWidth="true" max="4" min="4" style="3" width="9.88888888888889"/>
    <col customWidth="true" hidden="true" max="5" min="5" style="3" width="12.7777777777778"/>
    <col customWidth="true" hidden="true" max="6" min="6" style="3" width="12.6666666666667"/>
    <col customWidth="true" max="7" min="7" style="3" width="13.5740740740741"/>
    <col customWidth="true" max="8" min="8" style="3" width="11.5555555555556"/>
    <col customWidth="true" max="9" min="9" style="3" width="13.9444444444444"/>
    <col customWidth="true" max="10" min="10" style="4" width="13.2037037037037"/>
    <col customWidth="true" max="11" min="11" style="3" width="12.5833333333333"/>
    <col customWidth="true" max="12" min="12" style="3" width="15.3055555555556"/>
    <col customWidth="true" max="13" min="13" style="4" width="12.5925925925926"/>
    <col customWidth="true" max="14" min="14" style="3" width="10.8611111111111"/>
    <col customWidth="true" max="15" min="15" style="3" width="11.3518518518519"/>
    <col customWidth="true" max="18" min="16" style="3" width="13.0833333333333"/>
    <col max="16384" min="19" style="3" width="8.55555555555556"/>
  </cols>
  <sheetData>
    <row r="1" spans="1:20" s="1" customFormat="true" ht="58.8" customHeight="true">
      <c r="A1" s="5" t="s">
        <v>0</v>
      </c>
      <c r="B1" s="6"/>
      <c r="C1" s="6"/>
      <c r="D1" s="6"/>
      <c r="E1" s="6"/>
      <c r="F1" s="6"/>
      <c r="G1" s="6"/>
      <c r="H1" s="6"/>
      <c r="I1" s="6"/>
      <c r="J1" s="6"/>
      <c r="K1" s="6"/>
      <c r="L1" s="6"/>
      <c r="M1" s="6" t="s">
        <v>1</v>
      </c>
      <c r="N1" s="6"/>
      <c r="O1" s="6"/>
      <c r="P1" s="91" t="s">
        <v>2</v>
      </c>
      <c r="Q1" s="92"/>
      <c r="R1" s="92"/>
      <c r="T1" s="78"/>
    </row>
    <row r="2" spans="1:20" s="1" customFormat="true" ht="10.95" customHeight="true">
      <c r="A2" s="7" t="s">
        <v>3</v>
      </c>
      <c r="B2" s="7" t="s">
        <v>4</v>
      </c>
      <c r="C2" s="7" t="s">
        <v>5</v>
      </c>
      <c r="D2" s="7" t="s">
        <v>6</v>
      </c>
      <c r="E2" s="7" t="s">
        <v>7</v>
      </c>
      <c r="F2" s="7" t="s">
        <v>8</v>
      </c>
      <c r="G2" s="8" t="s">
        <v>9</v>
      </c>
      <c r="H2" s="9"/>
      <c r="I2" s="7" t="s">
        <v>10</v>
      </c>
      <c r="J2" s="7" t="s">
        <v>11</v>
      </c>
      <c r="K2" s="52" t="s">
        <v>12</v>
      </c>
      <c r="L2" s="9"/>
      <c r="M2" s="7" t="s">
        <v>11</v>
      </c>
      <c r="N2" s="52" t="s">
        <v>13</v>
      </c>
      <c r="O2" s="52"/>
      <c r="P2" s="9"/>
      <c r="Q2" s="9" t="s">
        <v>14</v>
      </c>
      <c r="R2" s="9" t="s">
        <v>15</v>
      </c>
      <c r="T2" s="78"/>
    </row>
    <row r="3" spans="1:20" s="1" customFormat="true" ht="16.05" customHeight="true">
      <c r="A3" s="10"/>
      <c r="B3" s="10"/>
      <c r="C3" s="10"/>
      <c r="D3" s="10"/>
      <c r="E3" s="10"/>
      <c r="F3" s="10"/>
      <c r="G3" s="11"/>
      <c r="H3" s="12"/>
      <c r="I3" s="10"/>
      <c r="J3" s="10"/>
      <c r="K3" s="53"/>
      <c r="L3" s="15"/>
      <c r="M3" s="10"/>
      <c r="N3" s="53"/>
      <c r="O3" s="53"/>
      <c r="P3" s="15"/>
      <c r="Q3" s="15"/>
      <c r="R3" s="15"/>
      <c r="T3" s="78"/>
    </row>
    <row r="4" spans="1:20" s="1" customFormat="true" ht="28.95" customHeight="true">
      <c r="A4" s="13"/>
      <c r="B4" s="13"/>
      <c r="C4" s="13"/>
      <c r="D4" s="13"/>
      <c r="E4" s="13"/>
      <c r="F4" s="13"/>
      <c r="G4" s="14"/>
      <c r="H4" s="15"/>
      <c r="I4" s="13"/>
      <c r="J4" s="13"/>
      <c r="K4" s="54" t="s">
        <v>16</v>
      </c>
      <c r="L4" s="55" t="s">
        <v>17</v>
      </c>
      <c r="M4" s="13"/>
      <c r="N4" s="55" t="s">
        <v>18</v>
      </c>
      <c r="O4" s="55" t="s">
        <v>19</v>
      </c>
      <c r="P4" s="55" t="s">
        <v>20</v>
      </c>
      <c r="Q4" s="55" t="s">
        <v>21</v>
      </c>
      <c r="R4" s="55" t="s">
        <v>22</v>
      </c>
      <c r="T4" s="78"/>
    </row>
    <row r="5" spans="1:20" s="2" customFormat="true" customHeight="true">
      <c r="A5" s="16">
        <v>1</v>
      </c>
      <c r="B5" s="17" t="str">
        <f>=DISPIMG("ID_795D10C56AD946AA943C4008215A4679",1)</f>
        <v>=DISPIMG("ID_795D10C56AD946AA943C4008215A4679",1)</v>
      </c>
      <c r="C5" s="22" t="s">
        <v>23</v>
      </c>
      <c r="D5" s="18" t="s">
        <v>24</v>
      </c>
      <c r="E5" s="19"/>
      <c r="F5" s="19"/>
      <c r="G5" s="20" t="s">
        <v>25</v>
      </c>
      <c r="H5" s="21" t="str">
        <f>=DISPIMG("ID_4EDEED8F8AF7463DAF9EEA863F4E2EAF",1)</f>
        <v>=DISPIMG("ID_4EDEED8F8AF7463DAF9EEA863F4E2EAF",1)</v>
      </c>
      <c r="I5" s="56">
        <v>22.92</v>
      </c>
      <c r="J5" s="57" t="s">
        <v>26</v>
      </c>
      <c r="K5" s="23">
        <v>168</v>
      </c>
      <c r="L5" s="58">
        <f>I5*K5</f>
        <v>3850.56</v>
      </c>
      <c r="M5" s="57" t="s">
        <v>26</v>
      </c>
      <c r="N5" s="23">
        <v>0</v>
      </c>
      <c r="O5" s="23">
        <v>125</v>
      </c>
      <c r="P5" s="23">
        <f t="shared" ref="P5:P10" si="0">MAX(0,K5-O5)</f>
        <v>43</v>
      </c>
      <c r="Q5" s="23">
        <v>13</v>
      </c>
      <c r="R5" s="23"/>
      <c r="T5" s="79"/>
    </row>
    <row r="6" spans="1:20" s="2" customFormat="true">
      <c r="A6" s="16"/>
      <c r="B6" s="16"/>
      <c r="C6" s="22"/>
      <c r="D6" s="22"/>
      <c r="E6" s="23"/>
      <c r="F6" s="23"/>
      <c r="G6" s="20"/>
      <c r="H6" s="21"/>
      <c r="I6" s="59"/>
      <c r="J6" s="57" t="s">
        <v>27</v>
      </c>
      <c r="K6" s="23">
        <v>268</v>
      </c>
      <c r="L6" s="58">
        <f>I5*K6</f>
        <v>6142.56</v>
      </c>
      <c r="M6" s="57" t="s">
        <v>27</v>
      </c>
      <c r="N6" s="23">
        <v>1</v>
      </c>
      <c r="O6" s="23">
        <v>248</v>
      </c>
      <c r="P6" s="23">
        <f t="shared" si="0"/>
        <v>20</v>
      </c>
      <c r="Q6" s="23">
        <v>27</v>
      </c>
      <c r="R6" s="23"/>
      <c r="T6" s="79"/>
    </row>
    <row r="7" spans="1:20" s="2" customFormat="true">
      <c r="A7" s="16"/>
      <c r="B7" s="16"/>
      <c r="C7" s="22"/>
      <c r="D7" s="22"/>
      <c r="E7" s="23"/>
      <c r="F7" s="23"/>
      <c r="G7" s="20"/>
      <c r="H7" s="21"/>
      <c r="I7" s="59"/>
      <c r="J7" s="57" t="s">
        <v>28</v>
      </c>
      <c r="K7" s="23">
        <v>169</v>
      </c>
      <c r="L7" s="58">
        <f>I5*K7</f>
        <v>3873.48</v>
      </c>
      <c r="M7" s="57" t="s">
        <v>28</v>
      </c>
      <c r="N7" s="23">
        <v>0</v>
      </c>
      <c r="O7" s="23">
        <v>170</v>
      </c>
      <c r="P7" s="23">
        <f t="shared" si="0"/>
        <v>0</v>
      </c>
      <c r="Q7" s="23">
        <v>21</v>
      </c>
      <c r="R7" s="23"/>
      <c r="T7" s="79"/>
    </row>
    <row r="8" spans="1:20" s="2" customFormat="true">
      <c r="A8" s="16"/>
      <c r="B8" s="16"/>
      <c r="C8" s="22"/>
      <c r="D8" s="22"/>
      <c r="E8" s="23"/>
      <c r="F8" s="23"/>
      <c r="G8" s="20"/>
      <c r="H8" s="21"/>
      <c r="I8" s="59"/>
      <c r="J8" s="57" t="s">
        <v>29</v>
      </c>
      <c r="K8" s="23">
        <v>177</v>
      </c>
      <c r="L8" s="58">
        <f>I5*K8</f>
        <v>4056.84</v>
      </c>
      <c r="M8" s="57" t="s">
        <v>29</v>
      </c>
      <c r="N8" s="23">
        <v>0</v>
      </c>
      <c r="O8" s="23">
        <v>110</v>
      </c>
      <c r="P8" s="23">
        <f t="shared" si="0"/>
        <v>67</v>
      </c>
      <c r="Q8" s="23">
        <v>14</v>
      </c>
      <c r="R8" s="23"/>
      <c r="T8" s="79"/>
    </row>
    <row r="9" spans="1:20" s="2" customFormat="true">
      <c r="A9" s="16"/>
      <c r="B9" s="16"/>
      <c r="C9" s="22"/>
      <c r="D9" s="22"/>
      <c r="E9" s="23"/>
      <c r="F9" s="23"/>
      <c r="G9" s="20"/>
      <c r="H9" s="21"/>
      <c r="I9" s="59"/>
      <c r="J9" s="57" t="s">
        <v>30</v>
      </c>
      <c r="K9" s="23">
        <v>176</v>
      </c>
      <c r="L9" s="58">
        <f>I5*K9</f>
        <v>4033.92</v>
      </c>
      <c r="M9" s="57" t="s">
        <v>30</v>
      </c>
      <c r="N9" s="23">
        <v>0</v>
      </c>
      <c r="O9" s="23">
        <v>64</v>
      </c>
      <c r="P9" s="23">
        <f t="shared" si="0"/>
        <v>112</v>
      </c>
      <c r="Q9" s="23">
        <v>10</v>
      </c>
      <c r="R9" s="23"/>
      <c r="T9" s="79"/>
    </row>
    <row r="10" spans="1:20" s="2" customFormat="true">
      <c r="A10" s="16"/>
      <c r="B10" s="16"/>
      <c r="C10" s="22"/>
      <c r="D10" s="22"/>
      <c r="E10" s="23"/>
      <c r="F10" s="23"/>
      <c r="G10" s="20"/>
      <c r="H10" s="21"/>
      <c r="I10" s="60"/>
      <c r="J10" s="23" t="s">
        <v>31</v>
      </c>
      <c r="K10" s="23">
        <v>168</v>
      </c>
      <c r="L10" s="58">
        <f>I5*K10</f>
        <v>3850.56</v>
      </c>
      <c r="M10" s="23" t="s">
        <v>31</v>
      </c>
      <c r="N10" s="23">
        <v>0</v>
      </c>
      <c r="O10" s="23">
        <v>71</v>
      </c>
      <c r="P10" s="23">
        <f t="shared" si="0"/>
        <v>97</v>
      </c>
      <c r="Q10" s="23">
        <v>12</v>
      </c>
      <c r="R10" s="23"/>
      <c r="T10" s="79"/>
    </row>
    <row r="11" spans="1:20" s="2" customFormat="true">
      <c r="A11" s="24"/>
      <c r="B11" s="24"/>
      <c r="C11" s="25"/>
      <c r="D11" s="25"/>
      <c r="E11" s="23"/>
      <c r="F11" s="23"/>
      <c r="G11" s="26"/>
      <c r="H11" s="27"/>
      <c r="J11" s="61" t="s">
        <v>32</v>
      </c>
      <c r="K11" s="62">
        <f t="shared" ref="K11:N11" si="1">SUM(K5:K10)</f>
        <v>1126</v>
      </c>
      <c r="L11" s="63">
        <f t="shared" si="1"/>
        <v>25807.92</v>
      </c>
      <c r="M11" s="61" t="s">
        <v>32</v>
      </c>
      <c r="N11" s="62">
        <f t="shared" si="1"/>
        <v>1</v>
      </c>
      <c r="O11" s="62" cm="1">
        <f t="array" ref="O11">SUMPRODUCT(--(O5:O10))</f>
        <v>788</v>
      </c>
      <c r="P11" s="64" cm="1">
        <f t="array" ref="P11">SUMPRODUCT(--(P5:P10))</f>
        <v>339</v>
      </c>
      <c r="Q11" s="64">
        <f>SUM(Q5:Q10)</f>
        <v>97</v>
      </c>
      <c r="R11" s="64">
        <f>SUM(R5:R10)</f>
        <v>0</v>
      </c>
      <c r="T11" s="79"/>
    </row>
    <row r="12" spans="1:20" s="2" customFormat="true" ht="17.4" customHeight="true">
      <c r="A12" s="28"/>
      <c r="B12" s="29"/>
      <c r="C12" s="29"/>
      <c r="D12" s="29"/>
      <c r="E12" s="29"/>
      <c r="F12" s="29"/>
      <c r="G12" s="29"/>
      <c r="H12" s="29"/>
      <c r="I12" s="29"/>
      <c r="J12" s="29"/>
      <c r="K12" s="29"/>
      <c r="L12" s="29"/>
      <c r="M12" s="29"/>
      <c r="N12" s="29"/>
      <c r="O12" s="29"/>
      <c r="P12" s="29"/>
      <c r="Q12" s="29"/>
      <c r="R12" s="29"/>
      <c r="T12" s="79"/>
    </row>
    <row r="13" spans="1:21" s="1" customFormat="true" ht="10.95" customHeight="true">
      <c r="A13" s="7" t="s">
        <v>3</v>
      </c>
      <c r="B13" s="30" t="s">
        <v>4</v>
      </c>
      <c r="C13" s="7" t="s">
        <v>5</v>
      </c>
      <c r="D13" s="30" t="s">
        <v>6</v>
      </c>
      <c r="E13" s="30" t="s">
        <v>7</v>
      </c>
      <c r="F13" s="30" t="s">
        <v>8</v>
      </c>
      <c r="G13" s="30" t="s">
        <v>9</v>
      </c>
      <c r="H13" s="30"/>
      <c r="I13" s="7" t="s">
        <v>10</v>
      </c>
      <c r="J13" s="7" t="s">
        <v>11</v>
      </c>
      <c r="K13" s="8" t="s">
        <v>12</v>
      </c>
      <c r="L13" s="9"/>
      <c r="M13" s="7" t="s">
        <v>11</v>
      </c>
      <c r="N13" s="52" t="s">
        <v>13</v>
      </c>
      <c r="O13" s="52"/>
      <c r="P13" s="9"/>
      <c r="Q13" s="9" t="s">
        <v>14</v>
      </c>
      <c r="R13" s="9" t="s">
        <v>15</v>
      </c>
      <c r="T13" s="78"/>
      <c r="U13" s="2"/>
    </row>
    <row r="14" spans="1:20" s="1" customFormat="true" ht="16.05" customHeight="true">
      <c r="A14" s="10"/>
      <c r="B14" s="30"/>
      <c r="C14" s="10"/>
      <c r="D14" s="30"/>
      <c r="E14" s="30"/>
      <c r="F14" s="30"/>
      <c r="G14" s="30"/>
      <c r="H14" s="30"/>
      <c r="I14" s="10"/>
      <c r="J14" s="10"/>
      <c r="K14" s="14"/>
      <c r="L14" s="15"/>
      <c r="M14" s="10"/>
      <c r="N14" s="53"/>
      <c r="O14" s="53"/>
      <c r="P14" s="15"/>
      <c r="Q14" s="15"/>
      <c r="R14" s="15"/>
      <c r="T14" s="78"/>
    </row>
    <row r="15" spans="1:20" s="1" customFormat="true" ht="28.95" customHeight="true">
      <c r="A15" s="13"/>
      <c r="B15" s="30"/>
      <c r="C15" s="13"/>
      <c r="D15" s="30"/>
      <c r="E15" s="30"/>
      <c r="F15" s="30"/>
      <c r="G15" s="30"/>
      <c r="H15" s="30"/>
      <c r="I15" s="13"/>
      <c r="J15" s="13"/>
      <c r="K15" s="54" t="s">
        <v>16</v>
      </c>
      <c r="L15" s="55" t="s">
        <v>17</v>
      </c>
      <c r="M15" s="13"/>
      <c r="N15" s="55" t="s">
        <v>18</v>
      </c>
      <c r="O15" s="55" t="s">
        <v>19</v>
      </c>
      <c r="P15" s="55" t="s">
        <v>20</v>
      </c>
      <c r="Q15" s="55" t="s">
        <v>21</v>
      </c>
      <c r="R15" s="55" t="s">
        <v>22</v>
      </c>
      <c r="T15" s="78"/>
    </row>
    <row r="16" spans="1:20" s="2" customFormat="true" ht="13.95" customHeight="true">
      <c r="A16" s="16">
        <v>2</v>
      </c>
      <c r="B16" s="17" t="str">
        <f>=DISPIMG("ID_F47C416D537E43DEBD4C8E115A56FEDF",1)</f>
        <v>=DISPIMG("ID_F47C416D537E43DEBD4C8E115A56FEDF",1)</v>
      </c>
      <c r="C16" s="22" t="s">
        <v>33</v>
      </c>
      <c r="D16" s="18" t="s">
        <v>24</v>
      </c>
      <c r="E16" s="19"/>
      <c r="F16" s="19"/>
      <c r="G16" s="20" t="s">
        <v>34</v>
      </c>
      <c r="H16" s="21" t="str">
        <f>=DISPIMG("ID_60479002954E4053A498D0256B7AFC48",1)</f>
        <v>=DISPIMG("ID_60479002954E4053A498D0256B7AFC48",1)</v>
      </c>
      <c r="I16" s="56">
        <v>22.92</v>
      </c>
      <c r="J16" s="57" t="s">
        <v>26</v>
      </c>
      <c r="K16" s="23">
        <v>255</v>
      </c>
      <c r="L16" s="58">
        <f>I16*K16</f>
        <v>5844.6</v>
      </c>
      <c r="M16" s="57" t="s">
        <v>26</v>
      </c>
      <c r="N16" s="23">
        <v>0</v>
      </c>
      <c r="O16" s="23">
        <v>33</v>
      </c>
      <c r="P16" s="23">
        <f t="shared" ref="P16:P21" si="2">MAX(0,K16-O16)</f>
        <v>222</v>
      </c>
      <c r="Q16" s="23">
        <v>3</v>
      </c>
      <c r="R16" s="23"/>
      <c r="T16" s="79"/>
    </row>
    <row r="17" spans="1:20" s="2" customFormat="true">
      <c r="A17" s="16"/>
      <c r="B17" s="16"/>
      <c r="C17" s="22"/>
      <c r="D17" s="22"/>
      <c r="E17" s="23"/>
      <c r="F17" s="23"/>
      <c r="G17" s="20"/>
      <c r="H17" s="21"/>
      <c r="I17" s="59"/>
      <c r="J17" s="57" t="s">
        <v>27</v>
      </c>
      <c r="K17" s="23">
        <v>379</v>
      </c>
      <c r="L17" s="58">
        <f>I16*K17</f>
        <v>8686.68</v>
      </c>
      <c r="M17" s="57" t="s">
        <v>27</v>
      </c>
      <c r="N17" s="23">
        <v>1</v>
      </c>
      <c r="O17" s="23">
        <v>48</v>
      </c>
      <c r="P17" s="23">
        <f t="shared" si="2"/>
        <v>331</v>
      </c>
      <c r="Q17" s="23">
        <v>4</v>
      </c>
      <c r="R17" s="23"/>
      <c r="T17" s="79"/>
    </row>
    <row r="18" spans="1:20" s="2" customFormat="true">
      <c r="A18" s="16"/>
      <c r="B18" s="16"/>
      <c r="C18" s="22"/>
      <c r="D18" s="22"/>
      <c r="E18" s="23"/>
      <c r="F18" s="23"/>
      <c r="G18" s="20"/>
      <c r="H18" s="21"/>
      <c r="I18" s="59"/>
      <c r="J18" s="57" t="s">
        <v>28</v>
      </c>
      <c r="K18" s="23">
        <v>311</v>
      </c>
      <c r="L18" s="58">
        <f>I16*K18</f>
        <v>7128.12</v>
      </c>
      <c r="M18" s="57" t="s">
        <v>28</v>
      </c>
      <c r="N18" s="23">
        <v>0</v>
      </c>
      <c r="O18" s="23">
        <v>27</v>
      </c>
      <c r="P18" s="23">
        <f t="shared" si="2"/>
        <v>284</v>
      </c>
      <c r="Q18" s="23">
        <v>5</v>
      </c>
      <c r="R18" s="23"/>
      <c r="T18" s="79"/>
    </row>
    <row r="19" spans="1:20" s="2" customFormat="true">
      <c r="A19" s="16"/>
      <c r="B19" s="16"/>
      <c r="C19" s="22"/>
      <c r="D19" s="22"/>
      <c r="E19" s="23"/>
      <c r="F19" s="23"/>
      <c r="G19" s="20"/>
      <c r="H19" s="21"/>
      <c r="I19" s="59"/>
      <c r="J19" s="57" t="s">
        <v>29</v>
      </c>
      <c r="K19" s="23">
        <v>287</v>
      </c>
      <c r="L19" s="58">
        <f>I16*K19</f>
        <v>6578.04</v>
      </c>
      <c r="M19" s="57" t="s">
        <v>29</v>
      </c>
      <c r="N19" s="23">
        <v>0</v>
      </c>
      <c r="O19" s="23">
        <v>43</v>
      </c>
      <c r="P19" s="23">
        <f t="shared" si="2"/>
        <v>244</v>
      </c>
      <c r="Q19" s="23">
        <v>5</v>
      </c>
      <c r="R19" s="23"/>
      <c r="T19" s="79"/>
    </row>
    <row r="20" spans="1:20" s="2" customFormat="true">
      <c r="A20" s="16"/>
      <c r="B20" s="16"/>
      <c r="C20" s="22"/>
      <c r="D20" s="22"/>
      <c r="E20" s="23"/>
      <c r="F20" s="23"/>
      <c r="G20" s="20"/>
      <c r="H20" s="21"/>
      <c r="I20" s="59"/>
      <c r="J20" s="57" t="s">
        <v>30</v>
      </c>
      <c r="K20" s="23">
        <v>276</v>
      </c>
      <c r="L20" s="58">
        <f>I16*K20</f>
        <v>6325.92</v>
      </c>
      <c r="M20" s="57" t="s">
        <v>30</v>
      </c>
      <c r="N20" s="23">
        <v>0</v>
      </c>
      <c r="O20" s="23">
        <v>27</v>
      </c>
      <c r="P20" s="23">
        <f t="shared" si="2"/>
        <v>249</v>
      </c>
      <c r="Q20" s="23">
        <v>3</v>
      </c>
      <c r="R20" s="23"/>
      <c r="T20" s="79"/>
    </row>
    <row r="21" spans="1:20" s="2" customFormat="true">
      <c r="A21" s="16"/>
      <c r="B21" s="16"/>
      <c r="C21" s="22"/>
      <c r="D21" s="22"/>
      <c r="E21" s="23"/>
      <c r="F21" s="23"/>
      <c r="G21" s="20"/>
      <c r="H21" s="21"/>
      <c r="I21" s="60"/>
      <c r="J21" s="23" t="s">
        <v>31</v>
      </c>
      <c r="K21" s="23">
        <v>177</v>
      </c>
      <c r="L21" s="58">
        <f>I16*K21</f>
        <v>4056.84</v>
      </c>
      <c r="M21" s="23" t="s">
        <v>31</v>
      </c>
      <c r="N21" s="23">
        <v>0</v>
      </c>
      <c r="O21" s="23">
        <v>32</v>
      </c>
      <c r="P21" s="23">
        <f t="shared" si="2"/>
        <v>145</v>
      </c>
      <c r="Q21" s="23">
        <v>5</v>
      </c>
      <c r="R21" s="23"/>
      <c r="T21" s="79"/>
    </row>
    <row r="22" spans="1:20" s="2" customFormat="true">
      <c r="A22" s="24"/>
      <c r="B22" s="24"/>
      <c r="C22" s="25"/>
      <c r="D22" s="25"/>
      <c r="E22" s="23"/>
      <c r="F22" s="23"/>
      <c r="G22" s="26"/>
      <c r="H22" s="27"/>
      <c r="I22" s="62"/>
      <c r="J22" s="61" t="s">
        <v>32</v>
      </c>
      <c r="K22" s="62">
        <f t="shared" ref="K22:N22" si="3">SUM(K16:K21)</f>
        <v>1685</v>
      </c>
      <c r="L22" s="63">
        <f t="shared" si="3"/>
        <v>38620.2</v>
      </c>
      <c r="M22" s="61" t="s">
        <v>32</v>
      </c>
      <c r="N22" s="62">
        <f t="shared" si="3"/>
        <v>1</v>
      </c>
      <c r="O22" s="62" cm="1">
        <f t="array" ref="O22">SUMPRODUCT(--(O16:O21))</f>
        <v>210</v>
      </c>
      <c r="P22" s="64" cm="1">
        <f t="array" ref="P22">SUMPRODUCT(--(P16:P21))</f>
        <v>1475</v>
      </c>
      <c r="Q22" s="64">
        <f>SUM(Q16:Q21)</f>
        <v>25</v>
      </c>
      <c r="R22" s="64">
        <f>SUM(R16:R21)</f>
        <v>0</v>
      </c>
      <c r="T22" s="79"/>
    </row>
    <row r="23" spans="1:20" s="2" customFormat="true" ht="17.4" customHeight="true">
      <c r="A23" s="28"/>
      <c r="B23" s="29"/>
      <c r="C23" s="29"/>
      <c r="D23" s="29"/>
      <c r="E23" s="29"/>
      <c r="F23" s="29"/>
      <c r="G23" s="29"/>
      <c r="H23" s="29"/>
      <c r="I23" s="29"/>
      <c r="J23" s="29"/>
      <c r="K23" s="29"/>
      <c r="L23" s="29"/>
      <c r="M23" s="29"/>
      <c r="N23" s="29"/>
      <c r="O23" s="29"/>
      <c r="P23" s="29"/>
      <c r="Q23" s="65"/>
      <c r="R23" s="65"/>
      <c r="T23" s="79"/>
    </row>
    <row r="24" spans="1:20" s="1" customFormat="true" ht="10.95" customHeight="true">
      <c r="A24" s="7" t="s">
        <v>3</v>
      </c>
      <c r="B24" s="30" t="s">
        <v>4</v>
      </c>
      <c r="C24" s="7" t="s">
        <v>5</v>
      </c>
      <c r="D24" s="30" t="s">
        <v>6</v>
      </c>
      <c r="E24" s="30" t="s">
        <v>7</v>
      </c>
      <c r="F24" s="30" t="s">
        <v>8</v>
      </c>
      <c r="G24" s="30" t="s">
        <v>9</v>
      </c>
      <c r="H24" s="30"/>
      <c r="I24" s="7" t="s">
        <v>10</v>
      </c>
      <c r="J24" s="7" t="s">
        <v>11</v>
      </c>
      <c r="K24" s="8" t="s">
        <v>12</v>
      </c>
      <c r="L24" s="9"/>
      <c r="M24" s="7" t="s">
        <v>11</v>
      </c>
      <c r="N24" s="52" t="s">
        <v>13</v>
      </c>
      <c r="O24" s="52"/>
      <c r="P24" s="9"/>
      <c r="Q24" s="9" t="s">
        <v>14</v>
      </c>
      <c r="R24" s="9" t="s">
        <v>15</v>
      </c>
      <c r="T24" s="78"/>
    </row>
    <row r="25" spans="1:20" s="1" customFormat="true" ht="16.05" customHeight="true">
      <c r="A25" s="10"/>
      <c r="B25" s="30"/>
      <c r="C25" s="10"/>
      <c r="D25" s="30"/>
      <c r="E25" s="30"/>
      <c r="F25" s="30"/>
      <c r="G25" s="30"/>
      <c r="H25" s="30"/>
      <c r="I25" s="10"/>
      <c r="J25" s="10"/>
      <c r="K25" s="14"/>
      <c r="L25" s="15"/>
      <c r="M25" s="10"/>
      <c r="N25" s="53"/>
      <c r="O25" s="53"/>
      <c r="P25" s="15"/>
      <c r="Q25" s="15"/>
      <c r="R25" s="15"/>
      <c r="T25" s="78"/>
    </row>
    <row r="26" spans="1:20" s="1" customFormat="true" ht="28.95" customHeight="true">
      <c r="A26" s="13"/>
      <c r="B26" s="30"/>
      <c r="C26" s="13"/>
      <c r="D26" s="30"/>
      <c r="E26" s="30"/>
      <c r="F26" s="30"/>
      <c r="G26" s="30"/>
      <c r="H26" s="30"/>
      <c r="I26" s="13"/>
      <c r="J26" s="13"/>
      <c r="K26" s="54" t="s">
        <v>16</v>
      </c>
      <c r="L26" s="55" t="s">
        <v>17</v>
      </c>
      <c r="M26" s="13"/>
      <c r="N26" s="55" t="s">
        <v>18</v>
      </c>
      <c r="O26" s="55" t="s">
        <v>19</v>
      </c>
      <c r="P26" s="55" t="s">
        <v>20</v>
      </c>
      <c r="Q26" s="55" t="s">
        <v>21</v>
      </c>
      <c r="R26" s="55" t="s">
        <v>22</v>
      </c>
      <c r="T26" s="78"/>
    </row>
    <row r="27" spans="1:20" s="2" customFormat="true" ht="13.95" customHeight="true">
      <c r="A27" s="16">
        <v>3</v>
      </c>
      <c r="B27" s="17" t="str">
        <f>=DISPIMG("ID_BB696B0855274CA7ABE52DD47A442A37",1)</f>
        <v>=DISPIMG("ID_BB696B0855274CA7ABE52DD47A442A37",1)</v>
      </c>
      <c r="C27" s="18" t="s">
        <v>35</v>
      </c>
      <c r="D27" s="18" t="s">
        <v>24</v>
      </c>
      <c r="E27" s="19"/>
      <c r="F27" s="19"/>
      <c r="G27" s="20" t="s">
        <v>36</v>
      </c>
      <c r="H27" s="21" t="str">
        <f>=DISPIMG("ID_2BB2FE636CBF42D3B88A0F85ABEF8819",1)</f>
        <v>=DISPIMG("ID_2BB2FE636CBF42D3B88A0F85ABEF8819",1)</v>
      </c>
      <c r="I27" s="56">
        <v>22.92</v>
      </c>
      <c r="J27" s="57" t="s">
        <v>26</v>
      </c>
      <c r="K27" s="23">
        <v>110</v>
      </c>
      <c r="L27" s="58">
        <f>I27*K27</f>
        <v>2521.2</v>
      </c>
      <c r="M27" s="57" t="s">
        <v>26</v>
      </c>
      <c r="N27" s="23">
        <v>0</v>
      </c>
      <c r="O27" s="23">
        <v>3</v>
      </c>
      <c r="P27" s="23">
        <f t="shared" ref="P27:P32" si="4">MAX(0,K27-O27)</f>
        <v>107</v>
      </c>
      <c r="Q27" s="23">
        <v>0</v>
      </c>
      <c r="R27" s="23"/>
      <c r="T27" s="79"/>
    </row>
    <row r="28" spans="1:20" s="2" customFormat="true">
      <c r="A28" s="16"/>
      <c r="B28" s="16"/>
      <c r="C28" s="22"/>
      <c r="D28" s="22"/>
      <c r="E28" s="23"/>
      <c r="F28" s="23"/>
      <c r="G28" s="20"/>
      <c r="H28" s="21"/>
      <c r="I28" s="59"/>
      <c r="J28" s="57" t="s">
        <v>27</v>
      </c>
      <c r="K28" s="23">
        <v>229</v>
      </c>
      <c r="L28" s="58">
        <f>I27*K28</f>
        <v>5248.68</v>
      </c>
      <c r="M28" s="57" t="s">
        <v>27</v>
      </c>
      <c r="N28" s="23">
        <v>0</v>
      </c>
      <c r="O28" s="23">
        <v>15</v>
      </c>
      <c r="P28" s="23">
        <f t="shared" si="4"/>
        <v>214</v>
      </c>
      <c r="Q28" s="23">
        <v>2</v>
      </c>
      <c r="R28" s="23"/>
      <c r="T28" s="79"/>
    </row>
    <row r="29" spans="1:20" s="2" customFormat="true">
      <c r="A29" s="16"/>
      <c r="B29" s="16"/>
      <c r="C29" s="22"/>
      <c r="D29" s="22"/>
      <c r="E29" s="23"/>
      <c r="F29" s="23"/>
      <c r="G29" s="20"/>
      <c r="H29" s="21"/>
      <c r="I29" s="59"/>
      <c r="J29" s="57" t="s">
        <v>28</v>
      </c>
      <c r="K29" s="23">
        <v>235</v>
      </c>
      <c r="L29" s="58">
        <f>I27*K29</f>
        <v>5386.2</v>
      </c>
      <c r="M29" s="57" t="s">
        <v>28</v>
      </c>
      <c r="N29" s="23">
        <v>0</v>
      </c>
      <c r="O29" s="23">
        <v>26</v>
      </c>
      <c r="P29" s="23">
        <f t="shared" si="4"/>
        <v>209</v>
      </c>
      <c r="Q29" s="23">
        <v>7</v>
      </c>
      <c r="R29" s="23"/>
      <c r="T29" s="79"/>
    </row>
    <row r="30" spans="1:20" s="2" customFormat="true">
      <c r="A30" s="16"/>
      <c r="B30" s="16"/>
      <c r="C30" s="22"/>
      <c r="D30" s="22"/>
      <c r="E30" s="23"/>
      <c r="F30" s="23"/>
      <c r="G30" s="20"/>
      <c r="H30" s="21"/>
      <c r="I30" s="59"/>
      <c r="J30" s="57" t="s">
        <v>29</v>
      </c>
      <c r="K30" s="23">
        <v>228</v>
      </c>
      <c r="L30" s="58">
        <f>I27*K30</f>
        <v>5225.76</v>
      </c>
      <c r="M30" s="57" t="s">
        <v>29</v>
      </c>
      <c r="N30" s="23">
        <v>0</v>
      </c>
      <c r="O30" s="23">
        <v>16</v>
      </c>
      <c r="P30" s="23">
        <f t="shared" si="4"/>
        <v>212</v>
      </c>
      <c r="Q30" s="23">
        <v>2</v>
      </c>
      <c r="R30" s="23"/>
      <c r="T30" s="79"/>
    </row>
    <row r="31" spans="1:20" s="2" customFormat="true">
      <c r="A31" s="16"/>
      <c r="B31" s="16"/>
      <c r="C31" s="22"/>
      <c r="D31" s="22"/>
      <c r="E31" s="23"/>
      <c r="F31" s="23"/>
      <c r="G31" s="20"/>
      <c r="H31" s="21"/>
      <c r="I31" s="59"/>
      <c r="J31" s="57" t="s">
        <v>30</v>
      </c>
      <c r="K31" s="23">
        <v>114</v>
      </c>
      <c r="L31" s="58">
        <f>I27*K31</f>
        <v>2612.88</v>
      </c>
      <c r="M31" s="57" t="s">
        <v>30</v>
      </c>
      <c r="N31" s="23">
        <v>0</v>
      </c>
      <c r="O31" s="23">
        <v>7</v>
      </c>
      <c r="P31" s="23">
        <f t="shared" si="4"/>
        <v>107</v>
      </c>
      <c r="Q31" s="23">
        <v>0</v>
      </c>
      <c r="R31" s="23"/>
      <c r="T31" s="79"/>
    </row>
    <row r="32" spans="1:20" s="2" customFormat="true">
      <c r="A32" s="16"/>
      <c r="B32" s="16"/>
      <c r="C32" s="22"/>
      <c r="D32" s="22"/>
      <c r="E32" s="23"/>
      <c r="F32" s="23"/>
      <c r="G32" s="20"/>
      <c r="H32" s="21"/>
      <c r="I32" s="60"/>
      <c r="J32" s="23" t="s">
        <v>31</v>
      </c>
      <c r="K32" s="23">
        <v>111</v>
      </c>
      <c r="L32" s="58">
        <f>I27*K32</f>
        <v>2544.12</v>
      </c>
      <c r="M32" s="23" t="s">
        <v>31</v>
      </c>
      <c r="N32" s="23">
        <v>0</v>
      </c>
      <c r="O32" s="23">
        <v>4</v>
      </c>
      <c r="P32" s="23">
        <f t="shared" si="4"/>
        <v>107</v>
      </c>
      <c r="Q32" s="23">
        <v>0</v>
      </c>
      <c r="R32" s="23"/>
      <c r="T32" s="79"/>
    </row>
    <row r="33" spans="1:20" s="2" customFormat="true">
      <c r="A33" s="24"/>
      <c r="B33" s="24"/>
      <c r="C33" s="25"/>
      <c r="D33" s="25"/>
      <c r="E33" s="23"/>
      <c r="F33" s="23"/>
      <c r="G33" s="26"/>
      <c r="H33" s="27"/>
      <c r="I33" s="62"/>
      <c r="J33" s="61" t="s">
        <v>32</v>
      </c>
      <c r="K33" s="62">
        <f t="shared" ref="K33:N33" si="5">SUM(K27:K32)</f>
        <v>1027</v>
      </c>
      <c r="L33" s="63">
        <f t="shared" si="5"/>
        <v>23538.84</v>
      </c>
      <c r="M33" s="61" t="s">
        <v>32</v>
      </c>
      <c r="N33" s="62">
        <f t="shared" si="5"/>
        <v>0</v>
      </c>
      <c r="O33" s="62" cm="1">
        <f t="array" ref="O33">SUMPRODUCT(--(O27:O32))</f>
        <v>71</v>
      </c>
      <c r="P33" s="64" cm="1">
        <f t="array" ref="P33">SUMPRODUCT(--(P27:P32))</f>
        <v>956</v>
      </c>
      <c r="Q33" s="64">
        <f>SUM(Q27:Q32)</f>
        <v>11</v>
      </c>
      <c r="R33" s="64">
        <f>SUM(R27:R32)</f>
        <v>0</v>
      </c>
      <c r="T33" s="79"/>
    </row>
    <row r="34" spans="1:20" s="2" customFormat="true" ht="17.4" customHeight="true">
      <c r="A34" s="28"/>
      <c r="B34" s="29"/>
      <c r="C34" s="29"/>
      <c r="D34" s="29"/>
      <c r="E34" s="29"/>
      <c r="F34" s="29"/>
      <c r="G34" s="29"/>
      <c r="H34" s="29"/>
      <c r="I34" s="29"/>
      <c r="J34" s="29"/>
      <c r="K34" s="29"/>
      <c r="L34" s="29"/>
      <c r="M34" s="29"/>
      <c r="N34" s="29"/>
      <c r="O34" s="29"/>
      <c r="P34" s="29"/>
      <c r="Q34" s="29"/>
      <c r="R34" s="29"/>
      <c r="T34" s="79"/>
    </row>
    <row r="35" spans="1:20" s="1" customFormat="true" ht="10.95" customHeight="true">
      <c r="A35" s="7" t="s">
        <v>3</v>
      </c>
      <c r="B35" s="30" t="s">
        <v>4</v>
      </c>
      <c r="C35" s="7" t="s">
        <v>5</v>
      </c>
      <c r="D35" s="30" t="s">
        <v>6</v>
      </c>
      <c r="E35" s="30" t="s">
        <v>7</v>
      </c>
      <c r="F35" s="30" t="s">
        <v>8</v>
      </c>
      <c r="G35" s="30" t="s">
        <v>9</v>
      </c>
      <c r="H35" s="30"/>
      <c r="I35" s="7" t="s">
        <v>10</v>
      </c>
      <c r="J35" s="7" t="s">
        <v>11</v>
      </c>
      <c r="K35" s="8" t="s">
        <v>12</v>
      </c>
      <c r="L35" s="9"/>
      <c r="M35" s="7" t="s">
        <v>11</v>
      </c>
      <c r="N35" s="52" t="s">
        <v>13</v>
      </c>
      <c r="O35" s="52"/>
      <c r="P35" s="9"/>
      <c r="Q35" s="9" t="s">
        <v>14</v>
      </c>
      <c r="R35" s="9" t="s">
        <v>15</v>
      </c>
      <c r="T35" s="78"/>
    </row>
    <row r="36" spans="1:20" s="1" customFormat="true" ht="16.05" customHeight="true">
      <c r="A36" s="10"/>
      <c r="B36" s="30"/>
      <c r="C36" s="10"/>
      <c r="D36" s="30"/>
      <c r="E36" s="30"/>
      <c r="F36" s="30"/>
      <c r="G36" s="30"/>
      <c r="H36" s="30"/>
      <c r="I36" s="10"/>
      <c r="J36" s="10"/>
      <c r="K36" s="14"/>
      <c r="L36" s="15"/>
      <c r="M36" s="10"/>
      <c r="N36" s="53"/>
      <c r="O36" s="53"/>
      <c r="P36" s="15"/>
      <c r="Q36" s="15"/>
      <c r="R36" s="15"/>
      <c r="T36" s="78"/>
    </row>
    <row r="37" spans="1:20" s="1" customFormat="true" ht="28.95" customHeight="true">
      <c r="A37" s="13"/>
      <c r="B37" s="30"/>
      <c r="C37" s="13"/>
      <c r="D37" s="30"/>
      <c r="E37" s="30"/>
      <c r="F37" s="30"/>
      <c r="G37" s="30"/>
      <c r="H37" s="30"/>
      <c r="I37" s="13"/>
      <c r="J37" s="13"/>
      <c r="K37" s="54" t="s">
        <v>16</v>
      </c>
      <c r="L37" s="55" t="s">
        <v>17</v>
      </c>
      <c r="M37" s="13"/>
      <c r="N37" s="55" t="s">
        <v>18</v>
      </c>
      <c r="O37" s="55" t="s">
        <v>19</v>
      </c>
      <c r="P37" s="55" t="s">
        <v>20</v>
      </c>
      <c r="Q37" s="55" t="s">
        <v>21</v>
      </c>
      <c r="R37" s="55" t="s">
        <v>22</v>
      </c>
      <c r="T37" s="78"/>
    </row>
    <row r="38" spans="1:20" s="2" customFormat="true" ht="13.95" customHeight="true">
      <c r="A38" s="16">
        <v>4</v>
      </c>
      <c r="B38" s="17" t="str">
        <f>=DISPIMG("ID_CA12FC8BFB6546C58CBAE41B76C9ECB2",1)</f>
        <v>=DISPIMG("ID_CA12FC8BFB6546C58CBAE41B76C9ECB2",1)</v>
      </c>
      <c r="C38" s="18" t="s">
        <v>37</v>
      </c>
      <c r="D38" s="18" t="s">
        <v>24</v>
      </c>
      <c r="E38" s="19"/>
      <c r="F38" s="19"/>
      <c r="G38" s="20" t="s">
        <v>38</v>
      </c>
      <c r="H38" s="21" t="str">
        <f>=DISPIMG("ID_5E325D724DBA43B6B719D96D3B9872F3",1)</f>
        <v>=DISPIMG("ID_5E325D724DBA43B6B719D96D3B9872F3",1)</v>
      </c>
      <c r="I38" s="56">
        <v>22.92</v>
      </c>
      <c r="J38" s="57" t="s">
        <v>26</v>
      </c>
      <c r="K38" s="23">
        <v>0</v>
      </c>
      <c r="L38" s="58">
        <f>I38*K38</f>
        <v>0</v>
      </c>
      <c r="M38" s="57" t="s">
        <v>26</v>
      </c>
      <c r="N38" s="23">
        <v>0</v>
      </c>
      <c r="O38" s="23">
        <f t="shared" ref="O38:O43" si="6">K38-P38</f>
        <v>0</v>
      </c>
      <c r="P38" s="23">
        <v>0</v>
      </c>
      <c r="Q38" s="23"/>
      <c r="R38" s="23"/>
      <c r="T38" s="79"/>
    </row>
    <row r="39" spans="1:20" s="2" customFormat="true">
      <c r="A39" s="16"/>
      <c r="B39" s="16"/>
      <c r="C39" s="22"/>
      <c r="D39" s="22"/>
      <c r="E39" s="23"/>
      <c r="F39" s="23"/>
      <c r="G39" s="20"/>
      <c r="H39" s="21"/>
      <c r="I39" s="59"/>
      <c r="J39" s="57" t="s">
        <v>27</v>
      </c>
      <c r="K39" s="23">
        <v>105</v>
      </c>
      <c r="L39" s="58">
        <f>I38*K39</f>
        <v>2406.6</v>
      </c>
      <c r="M39" s="57" t="s">
        <v>27</v>
      </c>
      <c r="N39" s="23">
        <v>0</v>
      </c>
      <c r="O39" s="23">
        <v>4</v>
      </c>
      <c r="P39" s="23">
        <f t="shared" ref="P39:P41" si="7">MAX(0,K39-O39)</f>
        <v>101</v>
      </c>
      <c r="Q39" s="23">
        <v>0</v>
      </c>
      <c r="R39" s="23"/>
      <c r="T39" s="79"/>
    </row>
    <row r="40" spans="1:20" s="2" customFormat="true">
      <c r="A40" s="16"/>
      <c r="B40" s="16"/>
      <c r="C40" s="22"/>
      <c r="D40" s="22"/>
      <c r="E40" s="23"/>
      <c r="F40" s="23"/>
      <c r="G40" s="20"/>
      <c r="H40" s="21"/>
      <c r="I40" s="59"/>
      <c r="J40" s="57" t="s">
        <v>28</v>
      </c>
      <c r="K40" s="23">
        <v>105</v>
      </c>
      <c r="L40" s="58">
        <f>I38*K40</f>
        <v>2406.6</v>
      </c>
      <c r="M40" s="57" t="s">
        <v>28</v>
      </c>
      <c r="N40" s="23">
        <v>0</v>
      </c>
      <c r="O40" s="23">
        <v>2</v>
      </c>
      <c r="P40" s="23">
        <f t="shared" si="7"/>
        <v>103</v>
      </c>
      <c r="Q40" s="23">
        <v>0</v>
      </c>
      <c r="R40" s="23"/>
      <c r="T40" s="79"/>
    </row>
    <row r="41" spans="1:20" s="2" customFormat="true">
      <c r="A41" s="16"/>
      <c r="B41" s="16"/>
      <c r="C41" s="22"/>
      <c r="D41" s="22"/>
      <c r="E41" s="23"/>
      <c r="F41" s="23"/>
      <c r="G41" s="20"/>
      <c r="H41" s="21"/>
      <c r="I41" s="59"/>
      <c r="J41" s="57" t="s">
        <v>29</v>
      </c>
      <c r="K41" s="23">
        <v>104</v>
      </c>
      <c r="L41" s="58">
        <f>I38*K41</f>
        <v>2383.68</v>
      </c>
      <c r="M41" s="57" t="s">
        <v>29</v>
      </c>
      <c r="N41" s="23">
        <v>0</v>
      </c>
      <c r="O41" s="23">
        <v>3</v>
      </c>
      <c r="P41" s="23">
        <f t="shared" si="7"/>
        <v>101</v>
      </c>
      <c r="Q41" s="23">
        <v>1</v>
      </c>
      <c r="R41" s="23"/>
      <c r="T41" s="79"/>
    </row>
    <row r="42" spans="1:20" s="2" customFormat="true">
      <c r="A42" s="16"/>
      <c r="B42" s="16"/>
      <c r="C42" s="22"/>
      <c r="D42" s="22"/>
      <c r="E42" s="23"/>
      <c r="F42" s="23"/>
      <c r="G42" s="20"/>
      <c r="H42" s="21"/>
      <c r="I42" s="59"/>
      <c r="J42" s="57" t="s">
        <v>30</v>
      </c>
      <c r="K42" s="23">
        <v>0</v>
      </c>
      <c r="L42" s="58">
        <f>I38*K42</f>
        <v>0</v>
      </c>
      <c r="M42" s="57" t="s">
        <v>30</v>
      </c>
      <c r="N42" s="23">
        <v>0</v>
      </c>
      <c r="O42" s="23">
        <f t="shared" si="6"/>
        <v>0</v>
      </c>
      <c r="P42" s="23">
        <v>0</v>
      </c>
      <c r="Q42" s="23"/>
      <c r="R42" s="23"/>
      <c r="T42" s="79"/>
    </row>
    <row r="43" spans="1:20" s="2" customFormat="true">
      <c r="A43" s="16"/>
      <c r="B43" s="16"/>
      <c r="C43" s="22"/>
      <c r="D43" s="22"/>
      <c r="E43" s="23"/>
      <c r="F43" s="23"/>
      <c r="G43" s="20"/>
      <c r="H43" s="21"/>
      <c r="I43" s="60"/>
      <c r="J43" s="23" t="s">
        <v>31</v>
      </c>
      <c r="K43" s="23">
        <v>0</v>
      </c>
      <c r="L43" s="58">
        <f>I38*K43</f>
        <v>0</v>
      </c>
      <c r="M43" s="23" t="s">
        <v>31</v>
      </c>
      <c r="N43" s="23">
        <v>0</v>
      </c>
      <c r="O43" s="23">
        <f t="shared" si="6"/>
        <v>0</v>
      </c>
      <c r="P43" s="23">
        <v>0</v>
      </c>
      <c r="Q43" s="23"/>
      <c r="R43" s="23"/>
      <c r="T43" s="79"/>
    </row>
    <row r="44" spans="1:20" s="2" customFormat="true">
      <c r="A44" s="24"/>
      <c r="B44" s="24"/>
      <c r="C44" s="25"/>
      <c r="D44" s="25"/>
      <c r="E44" s="23"/>
      <c r="F44" s="23"/>
      <c r="G44" s="26"/>
      <c r="H44" s="27"/>
      <c r="I44" s="62"/>
      <c r="J44" s="61" t="s">
        <v>32</v>
      </c>
      <c r="K44" s="62">
        <f t="shared" ref="K44:N44" si="8">SUM(K38:K43)</f>
        <v>314</v>
      </c>
      <c r="L44" s="63">
        <f t="shared" si="8"/>
        <v>7196.88</v>
      </c>
      <c r="M44" s="61" t="s">
        <v>32</v>
      </c>
      <c r="N44" s="62">
        <f t="shared" si="8"/>
        <v>0</v>
      </c>
      <c r="O44" s="62" cm="1">
        <f t="array" ref="O44">SUMPRODUCT(--(O38:O43))</f>
        <v>9</v>
      </c>
      <c r="P44" s="64" cm="1">
        <f t="array" ref="P44">SUMPRODUCT(--(P38:P43))</f>
        <v>305</v>
      </c>
      <c r="Q44" s="64">
        <f>SUM(Q38:Q43)</f>
        <v>1</v>
      </c>
      <c r="R44" s="64">
        <f>SUM(R38:R43)</f>
        <v>0</v>
      </c>
      <c r="T44" s="79"/>
    </row>
    <row r="45" spans="1:20" s="2" customFormat="true" ht="17.4" customHeight="true">
      <c r="A45" s="28"/>
      <c r="B45" s="29"/>
      <c r="C45" s="29"/>
      <c r="D45" s="29"/>
      <c r="E45" s="29"/>
      <c r="F45" s="29"/>
      <c r="G45" s="29"/>
      <c r="H45" s="29"/>
      <c r="I45" s="29"/>
      <c r="J45" s="29"/>
      <c r="K45" s="29"/>
      <c r="L45" s="29"/>
      <c r="M45" s="29"/>
      <c r="N45" s="29"/>
      <c r="O45" s="29"/>
      <c r="P45" s="29"/>
      <c r="T45" s="79"/>
    </row>
    <row r="46" spans="1:20" s="1" customFormat="true" ht="10.95" customHeight="true">
      <c r="A46" s="7" t="s">
        <v>3</v>
      </c>
      <c r="B46" s="30" t="s">
        <v>4</v>
      </c>
      <c r="C46" s="7" t="s">
        <v>5</v>
      </c>
      <c r="D46" s="30" t="s">
        <v>6</v>
      </c>
      <c r="E46" s="30" t="s">
        <v>7</v>
      </c>
      <c r="F46" s="30" t="s">
        <v>8</v>
      </c>
      <c r="G46" s="30" t="s">
        <v>9</v>
      </c>
      <c r="H46" s="30"/>
      <c r="I46" s="7" t="s">
        <v>10</v>
      </c>
      <c r="J46" s="7" t="s">
        <v>11</v>
      </c>
      <c r="K46" s="8" t="s">
        <v>12</v>
      </c>
      <c r="L46" s="9"/>
      <c r="M46" s="7" t="s">
        <v>11</v>
      </c>
      <c r="N46" s="52" t="s">
        <v>13</v>
      </c>
      <c r="O46" s="52"/>
      <c r="P46" s="9"/>
      <c r="Q46" s="9" t="s">
        <v>14</v>
      </c>
      <c r="R46" s="9" t="s">
        <v>15</v>
      </c>
      <c r="T46" s="78"/>
    </row>
    <row r="47" spans="1:20" s="1" customFormat="true" ht="16.05" customHeight="true">
      <c r="A47" s="10"/>
      <c r="B47" s="30"/>
      <c r="C47" s="10"/>
      <c r="D47" s="30"/>
      <c r="E47" s="30"/>
      <c r="F47" s="30"/>
      <c r="G47" s="30"/>
      <c r="H47" s="30"/>
      <c r="I47" s="10"/>
      <c r="J47" s="10"/>
      <c r="K47" s="14"/>
      <c r="L47" s="15"/>
      <c r="M47" s="10"/>
      <c r="N47" s="53"/>
      <c r="O47" s="53"/>
      <c r="P47" s="15"/>
      <c r="Q47" s="15"/>
      <c r="R47" s="15"/>
      <c r="T47" s="78"/>
    </row>
    <row r="48" spans="1:20" s="1" customFormat="true" ht="28.95" customHeight="true">
      <c r="A48" s="13"/>
      <c r="B48" s="30"/>
      <c r="C48" s="13"/>
      <c r="D48" s="30"/>
      <c r="E48" s="30"/>
      <c r="F48" s="30"/>
      <c r="G48" s="30"/>
      <c r="H48" s="30"/>
      <c r="I48" s="13"/>
      <c r="J48" s="13"/>
      <c r="K48" s="54" t="s">
        <v>16</v>
      </c>
      <c r="L48" s="55" t="s">
        <v>17</v>
      </c>
      <c r="M48" s="13"/>
      <c r="N48" s="55" t="s">
        <v>18</v>
      </c>
      <c r="O48" s="55" t="s">
        <v>19</v>
      </c>
      <c r="P48" s="55" t="s">
        <v>20</v>
      </c>
      <c r="Q48" s="55" t="s">
        <v>21</v>
      </c>
      <c r="R48" s="55" t="s">
        <v>22</v>
      </c>
      <c r="T48" s="78"/>
    </row>
    <row r="49" spans="1:20" s="2" customFormat="true" ht="13.95" customHeight="true">
      <c r="A49" s="16">
        <v>5</v>
      </c>
      <c r="B49" s="17" t="str">
        <f>=DISPIMG("ID_D7FF7E3D4DE44A03BE76CD49C30CB774",1)</f>
        <v>=DISPIMG("ID_D7FF7E3D4DE44A03BE76CD49C30CB774",1)</v>
      </c>
      <c r="C49" s="18" t="s">
        <v>39</v>
      </c>
      <c r="D49" s="18" t="s">
        <v>24</v>
      </c>
      <c r="E49" s="19"/>
      <c r="F49" s="19"/>
      <c r="G49" s="20" t="s">
        <v>40</v>
      </c>
      <c r="H49" s="21" t="str">
        <f>=DISPIMG("ID_11BCF0B8AC734B848F047E055D17E43F",1)</f>
        <v>=DISPIMG("ID_11BCF0B8AC734B848F047E055D17E43F",1)</v>
      </c>
      <c r="I49" s="56">
        <v>22.92</v>
      </c>
      <c r="J49" s="57" t="s">
        <v>26</v>
      </c>
      <c r="K49" s="23">
        <v>0</v>
      </c>
      <c r="L49" s="58">
        <f>I49*K49</f>
        <v>0</v>
      </c>
      <c r="M49" s="57" t="s">
        <v>26</v>
      </c>
      <c r="N49" s="23">
        <v>0</v>
      </c>
      <c r="O49" s="23">
        <f t="shared" ref="O49:O54" si="9">K49-P49</f>
        <v>0</v>
      </c>
      <c r="P49" s="23">
        <v>0</v>
      </c>
      <c r="Q49" s="23"/>
      <c r="R49" s="23"/>
      <c r="T49" s="79"/>
    </row>
    <row r="50" spans="1:20" s="2" customFormat="true">
      <c r="A50" s="16"/>
      <c r="B50" s="16"/>
      <c r="C50" s="22"/>
      <c r="D50" s="22"/>
      <c r="E50" s="23"/>
      <c r="F50" s="23"/>
      <c r="G50" s="20"/>
      <c r="H50" s="21"/>
      <c r="I50" s="59"/>
      <c r="J50" s="57" t="s">
        <v>27</v>
      </c>
      <c r="K50" s="23">
        <v>97</v>
      </c>
      <c r="L50" s="58">
        <f>I49*K50</f>
        <v>2223.24</v>
      </c>
      <c r="M50" s="57" t="s">
        <v>27</v>
      </c>
      <c r="N50" s="23">
        <v>0</v>
      </c>
      <c r="O50" s="23">
        <v>26</v>
      </c>
      <c r="P50" s="23">
        <f t="shared" ref="P50:P52" si="10">MAX(0,K50-O50)</f>
        <v>71</v>
      </c>
      <c r="Q50" s="23">
        <v>4</v>
      </c>
      <c r="R50" s="23"/>
      <c r="T50" s="79"/>
    </row>
    <row r="51" spans="1:20" s="2" customFormat="true">
      <c r="A51" s="16"/>
      <c r="B51" s="16"/>
      <c r="C51" s="22"/>
      <c r="D51" s="22"/>
      <c r="E51" s="23"/>
      <c r="F51" s="23"/>
      <c r="G51" s="20"/>
      <c r="H51" s="21"/>
      <c r="I51" s="59"/>
      <c r="J51" s="57" t="s">
        <v>28</v>
      </c>
      <c r="K51" s="23">
        <v>94</v>
      </c>
      <c r="L51" s="58">
        <f>I49*K51</f>
        <v>2154.48</v>
      </c>
      <c r="M51" s="57" t="s">
        <v>28</v>
      </c>
      <c r="N51" s="23">
        <v>0</v>
      </c>
      <c r="O51" s="23">
        <v>13</v>
      </c>
      <c r="P51" s="23">
        <f t="shared" si="10"/>
        <v>81</v>
      </c>
      <c r="Q51" s="23">
        <v>0</v>
      </c>
      <c r="R51" s="23"/>
      <c r="T51" s="79"/>
    </row>
    <row r="52" spans="1:20" s="2" customFormat="true">
      <c r="A52" s="16"/>
      <c r="B52" s="16"/>
      <c r="C52" s="22"/>
      <c r="D52" s="22"/>
      <c r="E52" s="23"/>
      <c r="F52" s="23"/>
      <c r="G52" s="20"/>
      <c r="H52" s="21"/>
      <c r="I52" s="59"/>
      <c r="J52" s="57" t="s">
        <v>29</v>
      </c>
      <c r="K52" s="23">
        <v>99</v>
      </c>
      <c r="L52" s="58">
        <f>I49*K52</f>
        <v>2269.08</v>
      </c>
      <c r="M52" s="57" t="s">
        <v>29</v>
      </c>
      <c r="N52" s="23">
        <v>0</v>
      </c>
      <c r="O52" s="23">
        <v>7</v>
      </c>
      <c r="P52" s="23">
        <f t="shared" si="10"/>
        <v>92</v>
      </c>
      <c r="Q52" s="23">
        <v>1</v>
      </c>
      <c r="R52" s="23"/>
      <c r="T52" s="79"/>
    </row>
    <row r="53" spans="1:20" s="2" customFormat="true">
      <c r="A53" s="16"/>
      <c r="B53" s="16"/>
      <c r="C53" s="22"/>
      <c r="D53" s="22"/>
      <c r="E53" s="23"/>
      <c r="F53" s="23"/>
      <c r="G53" s="20"/>
      <c r="H53" s="21"/>
      <c r="I53" s="59"/>
      <c r="J53" s="57" t="s">
        <v>30</v>
      </c>
      <c r="K53" s="23">
        <v>0</v>
      </c>
      <c r="L53" s="58">
        <f>I49*K53</f>
        <v>0</v>
      </c>
      <c r="M53" s="57" t="s">
        <v>30</v>
      </c>
      <c r="N53" s="23">
        <v>0</v>
      </c>
      <c r="O53" s="23">
        <f t="shared" si="9"/>
        <v>0</v>
      </c>
      <c r="P53" s="23">
        <v>0</v>
      </c>
      <c r="Q53" s="23"/>
      <c r="R53" s="23"/>
      <c r="T53" s="79"/>
    </row>
    <row r="54" spans="1:20" s="2" customFormat="true">
      <c r="A54" s="16"/>
      <c r="B54" s="16"/>
      <c r="C54" s="22"/>
      <c r="D54" s="22"/>
      <c r="E54" s="23"/>
      <c r="F54" s="23"/>
      <c r="G54" s="20"/>
      <c r="H54" s="21"/>
      <c r="I54" s="60"/>
      <c r="J54" s="23" t="s">
        <v>31</v>
      </c>
      <c r="K54" s="23">
        <v>0</v>
      </c>
      <c r="L54" s="58">
        <f>I49*K54</f>
        <v>0</v>
      </c>
      <c r="M54" s="23" t="s">
        <v>31</v>
      </c>
      <c r="N54" s="23">
        <v>0</v>
      </c>
      <c r="O54" s="23">
        <f t="shared" si="9"/>
        <v>0</v>
      </c>
      <c r="P54" s="23">
        <v>0</v>
      </c>
      <c r="Q54" s="23"/>
      <c r="R54" s="23"/>
      <c r="T54" s="79"/>
    </row>
    <row r="55" spans="1:20" s="2" customFormat="true">
      <c r="A55" s="24"/>
      <c r="B55" s="24"/>
      <c r="C55" s="25"/>
      <c r="D55" s="25"/>
      <c r="E55" s="23"/>
      <c r="F55" s="23"/>
      <c r="G55" s="26"/>
      <c r="H55" s="27"/>
      <c r="I55" s="62"/>
      <c r="J55" s="61" t="s">
        <v>32</v>
      </c>
      <c r="K55" s="62">
        <f t="shared" ref="K55:N55" si="11">SUM(K49:K54)</f>
        <v>290</v>
      </c>
      <c r="L55" s="63">
        <f t="shared" si="11"/>
        <v>6646.8</v>
      </c>
      <c r="M55" s="61" t="s">
        <v>32</v>
      </c>
      <c r="N55" s="62">
        <f t="shared" si="11"/>
        <v>0</v>
      </c>
      <c r="O55" s="62" cm="1">
        <f t="array" ref="O55">SUMPRODUCT(--(O49:O54))</f>
        <v>46</v>
      </c>
      <c r="P55" s="64" cm="1">
        <f t="array" ref="P55">SUMPRODUCT(--(P49:P54))</f>
        <v>244</v>
      </c>
      <c r="Q55" s="64">
        <f>SUM(Q49:Q54)</f>
        <v>5</v>
      </c>
      <c r="R55" s="64">
        <f>SUM(R49:R54)</f>
        <v>0</v>
      </c>
      <c r="T55" s="79"/>
    </row>
    <row r="56" spans="1:20" s="2" customFormat="true" ht="17.4" customHeight="true">
      <c r="A56" s="28"/>
      <c r="B56" s="29"/>
      <c r="C56" s="29"/>
      <c r="D56" s="29"/>
      <c r="E56" s="29"/>
      <c r="F56" s="29"/>
      <c r="G56" s="29"/>
      <c r="H56" s="29"/>
      <c r="I56" s="29"/>
      <c r="J56" s="29"/>
      <c r="K56" s="29"/>
      <c r="L56" s="29"/>
      <c r="M56" s="29"/>
      <c r="N56" s="29"/>
      <c r="O56" s="29"/>
      <c r="P56" s="29"/>
      <c r="Q56" s="29"/>
      <c r="R56" s="29"/>
      <c r="T56" s="79"/>
    </row>
    <row r="57" spans="1:20" s="1" customFormat="true" ht="10.95" customHeight="true">
      <c r="A57" s="7" t="s">
        <v>3</v>
      </c>
      <c r="B57" s="30" t="s">
        <v>4</v>
      </c>
      <c r="C57" s="7" t="s">
        <v>5</v>
      </c>
      <c r="D57" s="30" t="s">
        <v>6</v>
      </c>
      <c r="E57" s="30" t="s">
        <v>7</v>
      </c>
      <c r="F57" s="30" t="s">
        <v>8</v>
      </c>
      <c r="G57" s="30" t="s">
        <v>9</v>
      </c>
      <c r="H57" s="30"/>
      <c r="I57" s="7" t="s">
        <v>10</v>
      </c>
      <c r="J57" s="7" t="s">
        <v>11</v>
      </c>
      <c r="K57" s="8" t="s">
        <v>12</v>
      </c>
      <c r="L57" s="9"/>
      <c r="M57" s="7" t="s">
        <v>11</v>
      </c>
      <c r="N57" s="52" t="s">
        <v>13</v>
      </c>
      <c r="O57" s="52"/>
      <c r="P57" s="9"/>
      <c r="Q57" s="9" t="s">
        <v>14</v>
      </c>
      <c r="R57" s="9" t="s">
        <v>15</v>
      </c>
      <c r="T57" s="78"/>
    </row>
    <row r="58" spans="1:20" s="1" customFormat="true" ht="16.05" customHeight="true">
      <c r="A58" s="10"/>
      <c r="B58" s="30"/>
      <c r="C58" s="10"/>
      <c r="D58" s="30"/>
      <c r="E58" s="30"/>
      <c r="F58" s="30"/>
      <c r="G58" s="30"/>
      <c r="H58" s="30"/>
      <c r="I58" s="10"/>
      <c r="J58" s="10"/>
      <c r="K58" s="14"/>
      <c r="L58" s="15"/>
      <c r="M58" s="10"/>
      <c r="N58" s="53"/>
      <c r="O58" s="53"/>
      <c r="P58" s="15"/>
      <c r="Q58" s="15"/>
      <c r="R58" s="15"/>
      <c r="T58" s="78"/>
    </row>
    <row r="59" spans="1:20" s="1" customFormat="true" ht="17.4">
      <c r="A59" s="13"/>
      <c r="B59" s="30"/>
      <c r="C59" s="13"/>
      <c r="D59" s="30"/>
      <c r="E59" s="30"/>
      <c r="F59" s="30"/>
      <c r="G59" s="30"/>
      <c r="H59" s="30"/>
      <c r="I59" s="13"/>
      <c r="J59" s="13"/>
      <c r="K59" s="54" t="s">
        <v>16</v>
      </c>
      <c r="L59" s="55" t="s">
        <v>17</v>
      </c>
      <c r="M59" s="13"/>
      <c r="N59" s="55" t="s">
        <v>18</v>
      </c>
      <c r="O59" s="55" t="s">
        <v>19</v>
      </c>
      <c r="P59" s="55" t="s">
        <v>20</v>
      </c>
      <c r="Q59" s="55" t="s">
        <v>21</v>
      </c>
      <c r="R59" s="55" t="s">
        <v>22</v>
      </c>
      <c r="T59" s="78"/>
    </row>
    <row r="60" spans="1:20" s="2" customFormat="true" ht="13.95" customHeight="true">
      <c r="A60" s="16">
        <v>6</v>
      </c>
      <c r="B60" s="17" t="str">
        <f>=DISPIMG("ID_EBACEEB697E14737AF24D169367669A5",1)</f>
        <v>=DISPIMG("ID_EBACEEB697E14737AF24D169367669A5",1)</v>
      </c>
      <c r="C60" s="18" t="s">
        <v>41</v>
      </c>
      <c r="D60" s="18" t="s">
        <v>24</v>
      </c>
      <c r="E60" s="19"/>
      <c r="F60" s="19"/>
      <c r="G60" s="20" t="s">
        <v>42</v>
      </c>
      <c r="H60" s="21" t="str">
        <f>=DISPIMG("ID_B69D179AEA164CD98245F0462E8764BD",1)</f>
        <v>=DISPIMG("ID_B69D179AEA164CD98245F0462E8764BD",1)</v>
      </c>
      <c r="I60" s="56">
        <v>22.92</v>
      </c>
      <c r="J60" s="57" t="s">
        <v>26</v>
      </c>
      <c r="K60" s="23">
        <v>641</v>
      </c>
      <c r="L60" s="58">
        <f>I60*K60</f>
        <v>14691.72</v>
      </c>
      <c r="M60" s="57" t="s">
        <v>26</v>
      </c>
      <c r="N60" s="23">
        <v>0</v>
      </c>
      <c r="O60" s="23">
        <v>292</v>
      </c>
      <c r="P60" s="23">
        <f t="shared" ref="P60:P65" si="12">MAX(0,K60-O60)</f>
        <v>349</v>
      </c>
      <c r="Q60" s="23">
        <v>41</v>
      </c>
      <c r="R60" s="23"/>
      <c r="T60" s="79"/>
    </row>
    <row r="61" spans="1:20" s="2" customFormat="true">
      <c r="A61" s="16"/>
      <c r="B61" s="16"/>
      <c r="C61" s="22"/>
      <c r="D61" s="22"/>
      <c r="E61" s="23"/>
      <c r="F61" s="23"/>
      <c r="G61" s="20"/>
      <c r="H61" s="21"/>
      <c r="I61" s="59"/>
      <c r="J61" s="57" t="s">
        <v>27</v>
      </c>
      <c r="K61" s="23">
        <v>695</v>
      </c>
      <c r="L61" s="58">
        <f>I60*K61</f>
        <v>15929.4</v>
      </c>
      <c r="M61" s="57" t="s">
        <v>27</v>
      </c>
      <c r="N61" s="23">
        <v>4</v>
      </c>
      <c r="O61" s="23">
        <v>411</v>
      </c>
      <c r="P61" s="23">
        <f t="shared" si="12"/>
        <v>284</v>
      </c>
      <c r="Q61" s="23">
        <v>59</v>
      </c>
      <c r="R61" s="23"/>
      <c r="T61" s="79"/>
    </row>
    <row r="62" spans="1:20" s="2" customFormat="true">
      <c r="A62" s="16"/>
      <c r="B62" s="16"/>
      <c r="C62" s="22"/>
      <c r="D62" s="22"/>
      <c r="E62" s="23"/>
      <c r="F62" s="23"/>
      <c r="G62" s="20"/>
      <c r="H62" s="21"/>
      <c r="I62" s="59"/>
      <c r="J62" s="57" t="s">
        <v>28</v>
      </c>
      <c r="K62" s="23">
        <v>877</v>
      </c>
      <c r="L62" s="58">
        <f>I60*K62</f>
        <v>20100.84</v>
      </c>
      <c r="M62" s="57" t="s">
        <v>28</v>
      </c>
      <c r="N62" s="23">
        <v>7</v>
      </c>
      <c r="O62" s="23">
        <v>340</v>
      </c>
      <c r="P62" s="23">
        <f t="shared" si="12"/>
        <v>537</v>
      </c>
      <c r="Q62" s="23">
        <v>54</v>
      </c>
      <c r="R62" s="23"/>
      <c r="T62" s="79"/>
    </row>
    <row r="63" spans="1:20" s="2" customFormat="true">
      <c r="A63" s="16"/>
      <c r="B63" s="16"/>
      <c r="C63" s="22"/>
      <c r="D63" s="22"/>
      <c r="E63" s="23"/>
      <c r="F63" s="23"/>
      <c r="G63" s="20"/>
      <c r="H63" s="21"/>
      <c r="I63" s="59"/>
      <c r="J63" s="57" t="s">
        <v>29</v>
      </c>
      <c r="K63" s="23">
        <v>861</v>
      </c>
      <c r="L63" s="58">
        <f>I60*K63</f>
        <v>19734.12</v>
      </c>
      <c r="M63" s="57" t="s">
        <v>29</v>
      </c>
      <c r="N63" s="23">
        <v>4</v>
      </c>
      <c r="O63" s="23">
        <v>259</v>
      </c>
      <c r="P63" s="23">
        <f t="shared" si="12"/>
        <v>602</v>
      </c>
      <c r="Q63" s="23">
        <v>41</v>
      </c>
      <c r="R63" s="23"/>
      <c r="T63" s="79"/>
    </row>
    <row r="64" spans="1:20" s="2" customFormat="true">
      <c r="A64" s="16"/>
      <c r="B64" s="16"/>
      <c r="C64" s="22"/>
      <c r="D64" s="22"/>
      <c r="E64" s="23"/>
      <c r="F64" s="23"/>
      <c r="G64" s="20"/>
      <c r="H64" s="21"/>
      <c r="I64" s="59"/>
      <c r="J64" s="57" t="s">
        <v>30</v>
      </c>
      <c r="K64" s="23">
        <v>684</v>
      </c>
      <c r="L64" s="58">
        <f>I60*K64</f>
        <v>15677.28</v>
      </c>
      <c r="M64" s="57" t="s">
        <v>30</v>
      </c>
      <c r="N64" s="23">
        <v>2</v>
      </c>
      <c r="O64" s="23">
        <v>147</v>
      </c>
      <c r="P64" s="23">
        <f t="shared" si="12"/>
        <v>537</v>
      </c>
      <c r="Q64" s="23">
        <v>20</v>
      </c>
      <c r="R64" s="23"/>
      <c r="T64" s="79"/>
    </row>
    <row r="65" spans="1:20" s="2" customFormat="true">
      <c r="A65" s="16"/>
      <c r="B65" s="16"/>
      <c r="C65" s="22"/>
      <c r="D65" s="22"/>
      <c r="E65" s="23"/>
      <c r="F65" s="23"/>
      <c r="G65" s="20"/>
      <c r="H65" s="21"/>
      <c r="I65" s="60"/>
      <c r="J65" s="23" t="s">
        <v>31</v>
      </c>
      <c r="K65" s="23">
        <v>476</v>
      </c>
      <c r="L65" s="58">
        <f>I60*K65</f>
        <v>10909.92</v>
      </c>
      <c r="M65" s="23" t="s">
        <v>31</v>
      </c>
      <c r="N65" s="23">
        <v>0</v>
      </c>
      <c r="O65" s="23">
        <v>95</v>
      </c>
      <c r="P65" s="23">
        <f t="shared" si="12"/>
        <v>381</v>
      </c>
      <c r="Q65" s="23">
        <v>11</v>
      </c>
      <c r="R65" s="23"/>
      <c r="T65" s="79"/>
    </row>
    <row r="66" spans="1:20" s="2" customFormat="true">
      <c r="A66" s="24"/>
      <c r="B66" s="24"/>
      <c r="C66" s="25"/>
      <c r="D66" s="25"/>
      <c r="E66" s="23"/>
      <c r="F66" s="23"/>
      <c r="G66" s="26"/>
      <c r="H66" s="27"/>
      <c r="I66" s="62"/>
      <c r="J66" s="61" t="s">
        <v>32</v>
      </c>
      <c r="K66" s="62">
        <f t="shared" ref="K66:N66" si="13">SUM(K60:K65)</f>
        <v>4234</v>
      </c>
      <c r="L66" s="63">
        <f t="shared" si="13"/>
        <v>97043.28</v>
      </c>
      <c r="M66" s="61" t="s">
        <v>32</v>
      </c>
      <c r="N66" s="62">
        <f t="shared" si="13"/>
        <v>17</v>
      </c>
      <c r="O66" s="62" cm="1">
        <f t="array" ref="O66">SUMPRODUCT(--(O60:O65))</f>
        <v>1544</v>
      </c>
      <c r="P66" s="64" cm="1">
        <f t="array" ref="P66">SUMPRODUCT(--(P60:P65))</f>
        <v>2690</v>
      </c>
      <c r="Q66" s="64">
        <f>SUM(Q60:Q65)</f>
        <v>226</v>
      </c>
      <c r="R66" s="64">
        <f>SUM(R60:R65)</f>
        <v>0</v>
      </c>
      <c r="T66" s="79"/>
    </row>
    <row r="67" spans="1:16" s="3" customFormat="true">
      <c r="A67" s="4"/>
      <c r="B67" s="4"/>
      <c r="C67" s="31"/>
      <c r="D67" s="31"/>
      <c r="E67" s="31"/>
      <c r="F67" s="31"/>
      <c r="G67" s="31"/>
      <c r="H67" s="31"/>
      <c r="I67" s="65"/>
      <c r="J67" s="31"/>
      <c r="K67" s="65"/>
      <c r="L67" s="65"/>
      <c r="M67" s="31"/>
      <c r="N67" s="65"/>
      <c r="O67" s="65"/>
      <c r="P67" s="65"/>
    </row>
    <row r="68" spans="1:20" s="1" customFormat="true" ht="10.95" customHeight="true">
      <c r="A68" s="7" t="s">
        <v>3</v>
      </c>
      <c r="B68" s="30" t="s">
        <v>4</v>
      </c>
      <c r="C68" s="7" t="s">
        <v>5</v>
      </c>
      <c r="D68" s="30" t="s">
        <v>6</v>
      </c>
      <c r="E68" s="30" t="s">
        <v>7</v>
      </c>
      <c r="F68" s="30" t="s">
        <v>8</v>
      </c>
      <c r="G68" s="30" t="s">
        <v>9</v>
      </c>
      <c r="H68" s="30"/>
      <c r="I68" s="7" t="s">
        <v>10</v>
      </c>
      <c r="J68" s="7" t="s">
        <v>11</v>
      </c>
      <c r="K68" s="8" t="s">
        <v>12</v>
      </c>
      <c r="L68" s="9"/>
      <c r="M68" s="7" t="s">
        <v>11</v>
      </c>
      <c r="N68" s="52" t="s">
        <v>13</v>
      </c>
      <c r="O68" s="52"/>
      <c r="P68" s="9"/>
      <c r="Q68" s="9" t="s">
        <v>14</v>
      </c>
      <c r="R68" s="9" t="s">
        <v>15</v>
      </c>
      <c r="T68" s="78"/>
    </row>
    <row r="69" spans="1:20" s="1" customFormat="true" ht="16.05" customHeight="true">
      <c r="A69" s="10"/>
      <c r="B69" s="30"/>
      <c r="C69" s="10"/>
      <c r="D69" s="30"/>
      <c r="E69" s="30"/>
      <c r="F69" s="30"/>
      <c r="G69" s="30"/>
      <c r="H69" s="30"/>
      <c r="I69" s="10"/>
      <c r="J69" s="10"/>
      <c r="K69" s="14"/>
      <c r="L69" s="15"/>
      <c r="M69" s="10"/>
      <c r="N69" s="53"/>
      <c r="O69" s="53"/>
      <c r="P69" s="15"/>
      <c r="Q69" s="15"/>
      <c r="R69" s="15"/>
      <c r="T69" s="78"/>
    </row>
    <row r="70" spans="1:20" s="1" customFormat="true" ht="17.4">
      <c r="A70" s="13"/>
      <c r="B70" s="30"/>
      <c r="C70" s="13"/>
      <c r="D70" s="30"/>
      <c r="E70" s="30"/>
      <c r="F70" s="30"/>
      <c r="G70" s="30"/>
      <c r="H70" s="30"/>
      <c r="I70" s="13"/>
      <c r="J70" s="13"/>
      <c r="K70" s="54" t="s">
        <v>16</v>
      </c>
      <c r="L70" s="55" t="s">
        <v>17</v>
      </c>
      <c r="M70" s="13"/>
      <c r="N70" s="55" t="s">
        <v>18</v>
      </c>
      <c r="O70" s="55" t="s">
        <v>19</v>
      </c>
      <c r="P70" s="55" t="s">
        <v>20</v>
      </c>
      <c r="Q70" s="55" t="s">
        <v>21</v>
      </c>
      <c r="R70" s="55" t="s">
        <v>22</v>
      </c>
      <c r="T70" s="78"/>
    </row>
    <row r="71" spans="1:20" s="2" customFormat="true" ht="13.95" customHeight="true">
      <c r="A71" s="16">
        <v>7</v>
      </c>
      <c r="B71" s="17" t="str">
        <f>=DISPIMG("ID_971361761F27479FB5E55EBB3809AC87",1)</f>
        <v>=DISPIMG("ID_971361761F27479FB5E55EBB3809AC87",1)</v>
      </c>
      <c r="C71" s="18" t="s">
        <v>43</v>
      </c>
      <c r="D71" s="18" t="s">
        <v>24</v>
      </c>
      <c r="E71" s="19"/>
      <c r="F71" s="19"/>
      <c r="G71" s="20" t="s">
        <v>44</v>
      </c>
      <c r="H71" s="21" t="str">
        <f>=DISPIMG("ID_8FFEFAF386584682880617B2A363029A",1)</f>
        <v>=DISPIMG("ID_8FFEFAF386584682880617B2A363029A",1)</v>
      </c>
      <c r="I71" s="56">
        <v>22.92</v>
      </c>
      <c r="J71" s="57" t="s">
        <v>26</v>
      </c>
      <c r="K71" s="23">
        <v>248</v>
      </c>
      <c r="L71" s="58">
        <f>I71*K71</f>
        <v>5684.16</v>
      </c>
      <c r="M71" s="57" t="s">
        <v>26</v>
      </c>
      <c r="N71" s="23">
        <v>0</v>
      </c>
      <c r="O71" s="23">
        <v>49</v>
      </c>
      <c r="P71" s="23">
        <f t="shared" ref="P71:P76" si="14">MAX(0,K71-O71)</f>
        <v>199</v>
      </c>
      <c r="Q71" s="23">
        <v>2</v>
      </c>
      <c r="R71" s="23"/>
      <c r="T71" s="79"/>
    </row>
    <row r="72" spans="1:20" s="2" customFormat="true">
      <c r="A72" s="16"/>
      <c r="B72" s="16"/>
      <c r="C72" s="22"/>
      <c r="D72" s="22"/>
      <c r="E72" s="23"/>
      <c r="F72" s="23"/>
      <c r="G72" s="20"/>
      <c r="H72" s="21"/>
      <c r="I72" s="59"/>
      <c r="J72" s="57" t="s">
        <v>27</v>
      </c>
      <c r="K72" s="23">
        <v>358</v>
      </c>
      <c r="L72" s="58">
        <f>I71*K72</f>
        <v>8205.36</v>
      </c>
      <c r="M72" s="57" t="s">
        <v>27</v>
      </c>
      <c r="N72" s="23">
        <v>1</v>
      </c>
      <c r="O72" s="23">
        <v>74</v>
      </c>
      <c r="P72" s="23">
        <f t="shared" si="14"/>
        <v>284</v>
      </c>
      <c r="Q72" s="23">
        <v>9</v>
      </c>
      <c r="R72" s="23"/>
      <c r="T72" s="79"/>
    </row>
    <row r="73" spans="1:20" s="2" customFormat="true">
      <c r="A73" s="16"/>
      <c r="B73" s="16"/>
      <c r="C73" s="22"/>
      <c r="D73" s="22"/>
      <c r="E73" s="23"/>
      <c r="F73" s="23"/>
      <c r="G73" s="20"/>
      <c r="H73" s="21"/>
      <c r="I73" s="59"/>
      <c r="J73" s="57" t="s">
        <v>28</v>
      </c>
      <c r="K73" s="23">
        <v>292</v>
      </c>
      <c r="L73" s="58">
        <f>I71*K73</f>
        <v>6692.64</v>
      </c>
      <c r="M73" s="57" t="s">
        <v>28</v>
      </c>
      <c r="N73" s="23">
        <v>0</v>
      </c>
      <c r="O73" s="23">
        <v>52</v>
      </c>
      <c r="P73" s="23">
        <f t="shared" si="14"/>
        <v>240</v>
      </c>
      <c r="Q73" s="23">
        <v>5</v>
      </c>
      <c r="R73" s="23"/>
      <c r="T73" s="79"/>
    </row>
    <row r="74" spans="1:20" s="2" customFormat="true">
      <c r="A74" s="16"/>
      <c r="B74" s="16"/>
      <c r="C74" s="22"/>
      <c r="D74" s="22"/>
      <c r="E74" s="23"/>
      <c r="F74" s="23"/>
      <c r="G74" s="20"/>
      <c r="H74" s="21"/>
      <c r="I74" s="59"/>
      <c r="J74" s="57" t="s">
        <v>29</v>
      </c>
      <c r="K74" s="23">
        <v>278</v>
      </c>
      <c r="L74" s="58">
        <f>I71*K74</f>
        <v>6371.76</v>
      </c>
      <c r="M74" s="57" t="s">
        <v>29</v>
      </c>
      <c r="N74" s="23">
        <v>0</v>
      </c>
      <c r="O74" s="23">
        <v>39</v>
      </c>
      <c r="P74" s="23">
        <f t="shared" si="14"/>
        <v>239</v>
      </c>
      <c r="Q74" s="23">
        <v>4</v>
      </c>
      <c r="R74" s="23"/>
      <c r="T74" s="79"/>
    </row>
    <row r="75" spans="1:20" s="2" customFormat="true">
      <c r="A75" s="16"/>
      <c r="B75" s="16"/>
      <c r="C75" s="22"/>
      <c r="D75" s="22"/>
      <c r="E75" s="23"/>
      <c r="F75" s="23"/>
      <c r="G75" s="20"/>
      <c r="H75" s="21"/>
      <c r="I75" s="59"/>
      <c r="J75" s="57" t="s">
        <v>30</v>
      </c>
      <c r="K75" s="23">
        <v>260</v>
      </c>
      <c r="L75" s="58">
        <f>I71*K75</f>
        <v>5959.2</v>
      </c>
      <c r="M75" s="57" t="s">
        <v>30</v>
      </c>
      <c r="N75" s="23">
        <v>0</v>
      </c>
      <c r="O75" s="23">
        <v>27</v>
      </c>
      <c r="P75" s="23">
        <f t="shared" si="14"/>
        <v>233</v>
      </c>
      <c r="Q75" s="23">
        <v>11</v>
      </c>
      <c r="R75" s="23"/>
      <c r="T75" s="79"/>
    </row>
    <row r="76" spans="1:20" s="2" customFormat="true">
      <c r="A76" s="16"/>
      <c r="B76" s="16"/>
      <c r="C76" s="22"/>
      <c r="D76" s="22"/>
      <c r="E76" s="23"/>
      <c r="F76" s="23"/>
      <c r="G76" s="20"/>
      <c r="H76" s="21"/>
      <c r="I76" s="60"/>
      <c r="J76" s="23" t="s">
        <v>31</v>
      </c>
      <c r="K76" s="23">
        <v>170</v>
      </c>
      <c r="L76" s="58">
        <f>I71*K76</f>
        <v>3896.4</v>
      </c>
      <c r="M76" s="23" t="s">
        <v>31</v>
      </c>
      <c r="N76" s="23">
        <v>0</v>
      </c>
      <c r="O76" s="23">
        <v>19</v>
      </c>
      <c r="P76" s="23">
        <f t="shared" si="14"/>
        <v>151</v>
      </c>
      <c r="Q76" s="23">
        <v>2</v>
      </c>
      <c r="R76" s="23"/>
      <c r="T76" s="79"/>
    </row>
    <row r="77" spans="1:20" s="2" customFormat="true">
      <c r="A77" s="24"/>
      <c r="B77" s="24"/>
      <c r="C77" s="25"/>
      <c r="D77" s="25"/>
      <c r="E77" s="23"/>
      <c r="F77" s="23"/>
      <c r="G77" s="26"/>
      <c r="H77" s="27"/>
      <c r="I77" s="62"/>
      <c r="J77" s="61" t="s">
        <v>32</v>
      </c>
      <c r="K77" s="62">
        <f t="shared" ref="K77:N77" si="15">SUM(K71:K76)</f>
        <v>1606</v>
      </c>
      <c r="L77" s="63">
        <f t="shared" si="15"/>
        <v>36809.52</v>
      </c>
      <c r="M77" s="61" t="s">
        <v>32</v>
      </c>
      <c r="N77" s="62">
        <f t="shared" si="15"/>
        <v>1</v>
      </c>
      <c r="O77" s="62" cm="1">
        <f t="array" ref="O77">SUMPRODUCT(--(O71:O76))</f>
        <v>260</v>
      </c>
      <c r="P77" s="64" cm="1">
        <f t="array" ref="P77">SUMPRODUCT(--(P71:P76))</f>
        <v>1346</v>
      </c>
      <c r="Q77" s="64">
        <f>SUM(Q71:Q76)</f>
        <v>33</v>
      </c>
      <c r="R77" s="64">
        <f>SUM(R71:R76)</f>
        <v>0</v>
      </c>
      <c r="T77" s="79"/>
    </row>
    <row r="78" spans="1:16" s="3" customFormat="true">
      <c r="A78" s="4"/>
      <c r="B78" s="4"/>
      <c r="C78" s="31"/>
      <c r="D78" s="31"/>
      <c r="E78" s="31"/>
      <c r="F78" s="31"/>
      <c r="G78" s="31"/>
      <c r="H78" s="31"/>
      <c r="I78" s="65"/>
      <c r="J78" s="31"/>
      <c r="K78" s="65"/>
      <c r="L78" s="65"/>
      <c r="M78" s="31"/>
      <c r="N78" s="65"/>
      <c r="O78" s="65"/>
      <c r="P78" s="65"/>
    </row>
    <row r="79"/>
    <row r="80" spans="1:14" ht="46" customHeight="true">
      <c r="A80" s="32" t="s">
        <v>45</v>
      </c>
      <c r="B80" s="33"/>
      <c r="C80" s="34" t="s">
        <v>5</v>
      </c>
      <c r="D80" s="35" t="s">
        <v>6</v>
      </c>
      <c r="E80" s="35" t="s">
        <v>7</v>
      </c>
      <c r="F80" s="35" t="s">
        <v>8</v>
      </c>
      <c r="G80" s="32" t="s">
        <v>9</v>
      </c>
      <c r="H80" s="33"/>
      <c r="I80" s="34" t="s">
        <v>46</v>
      </c>
      <c r="J80" s="34" t="s">
        <v>47</v>
      </c>
      <c r="K80" s="66" t="s">
        <v>48</v>
      </c>
      <c r="L80" s="67"/>
      <c r="M80" s="32" t="s">
        <v>49</v>
      </c>
      <c r="N80" s="33"/>
    </row>
    <row r="81" spans="1:14" ht="25.05" customHeight="true">
      <c r="A81" s="36" t="s">
        <v>50</v>
      </c>
      <c r="B81" s="37"/>
      <c r="C81" s="18" t="s">
        <v>51</v>
      </c>
      <c r="D81" s="18" t="s">
        <v>24</v>
      </c>
      <c r="E81" s="38"/>
      <c r="F81" s="38"/>
      <c r="G81" s="39" t="s">
        <v>52</v>
      </c>
      <c r="H81" s="40"/>
      <c r="I81" s="68" t="str">
        <f>SUM(K11,K22,K33,K44,K55,K66,K77)&amp;"件"</f>
        <v>10282件</v>
      </c>
      <c r="J81" s="68" t="str">
        <f>SUM(O11,O22,O33,O44,O55,O66,O77)&amp;"件"</f>
        <v>2928件</v>
      </c>
      <c r="K81" s="69" t="str">
        <f>SUM(P11,P22,P33,P44,P55,P66,P77)&amp;"件"</f>
        <v>7355件</v>
      </c>
      <c r="L81" s="70"/>
      <c r="M81" s="71"/>
      <c r="N81" s="70"/>
    </row>
    <row r="82" spans="1:14" ht="25.05" customHeight="true">
      <c r="A82" s="41"/>
      <c r="B82" s="42"/>
      <c r="C82" s="22"/>
      <c r="D82" s="22"/>
      <c r="E82" s="43"/>
      <c r="F82" s="43"/>
      <c r="G82" s="44"/>
      <c r="H82" s="45"/>
      <c r="I82" s="16"/>
      <c r="J82" s="16"/>
      <c r="K82" s="72"/>
      <c r="L82" s="73"/>
      <c r="M82" s="74"/>
      <c r="N82" s="73"/>
    </row>
    <row r="83" spans="1:14">
      <c r="A83" s="41"/>
      <c r="B83" s="42"/>
      <c r="C83" s="22"/>
      <c r="D83" s="22"/>
      <c r="E83" s="43"/>
      <c r="F83" s="43"/>
      <c r="G83" s="44"/>
      <c r="H83" s="45"/>
      <c r="I83" s="16"/>
      <c r="J83" s="16"/>
      <c r="K83" s="72"/>
      <c r="L83" s="73"/>
      <c r="M83" s="74"/>
      <c r="N83" s="73"/>
    </row>
    <row r="84" spans="1:14">
      <c r="A84" s="41"/>
      <c r="B84" s="42"/>
      <c r="C84" s="22"/>
      <c r="D84" s="22"/>
      <c r="E84" s="43"/>
      <c r="F84" s="43"/>
      <c r="G84" s="44"/>
      <c r="H84" s="45"/>
      <c r="I84" s="16"/>
      <c r="J84" s="16"/>
      <c r="K84" s="72"/>
      <c r="L84" s="73"/>
      <c r="M84" s="74"/>
      <c r="N84" s="73"/>
    </row>
    <row r="85" spans="1:14">
      <c r="A85" s="41"/>
      <c r="B85" s="42"/>
      <c r="C85" s="22"/>
      <c r="D85" s="22"/>
      <c r="E85" s="43"/>
      <c r="F85" s="43"/>
      <c r="G85" s="44"/>
      <c r="H85" s="45"/>
      <c r="I85" s="16"/>
      <c r="J85" s="16"/>
      <c r="K85" s="72"/>
      <c r="L85" s="73"/>
      <c r="M85" s="74"/>
      <c r="N85" s="73"/>
    </row>
    <row r="86" spans="1:14" customHeight="true">
      <c r="A86" s="41"/>
      <c r="B86" s="42"/>
      <c r="C86" s="22"/>
      <c r="D86" s="22"/>
      <c r="E86" s="43"/>
      <c r="F86" s="43"/>
      <c r="G86" s="44"/>
      <c r="H86" s="45"/>
      <c r="I86" s="16"/>
      <c r="J86" s="16"/>
      <c r="K86" s="72"/>
      <c r="L86" s="73"/>
      <c r="M86" s="74"/>
      <c r="N86" s="73"/>
    </row>
    <row r="87" spans="1:14">
      <c r="A87" s="46"/>
      <c r="B87" s="47"/>
      <c r="C87" s="25"/>
      <c r="D87" s="25"/>
      <c r="E87" s="48"/>
      <c r="F87" s="48"/>
      <c r="G87" s="49"/>
      <c r="H87" s="50"/>
      <c r="I87" s="24"/>
      <c r="J87" s="24"/>
      <c r="K87" s="75"/>
      <c r="L87" s="76"/>
      <c r="M87" s="77"/>
      <c r="N87" s="76"/>
    </row>
  </sheetData>
  <mergeCells count="183">
    <mergeCell ref="A1:L1"/>
    <mergeCell ref="M1:O1"/>
    <mergeCell ref="P1:R1"/>
    <mergeCell ref="A12:P12"/>
    <mergeCell ref="A23:P23"/>
    <mergeCell ref="A34:P34"/>
    <mergeCell ref="A45:P45"/>
    <mergeCell ref="A56:P56"/>
    <mergeCell ref="A80:B80"/>
    <mergeCell ref="G80:H80"/>
    <mergeCell ref="K80:L80"/>
    <mergeCell ref="M80:N80"/>
    <mergeCell ref="A2:A4"/>
    <mergeCell ref="A5:A11"/>
    <mergeCell ref="A13:A15"/>
    <mergeCell ref="A16:A22"/>
    <mergeCell ref="A24:A26"/>
    <mergeCell ref="A27:A33"/>
    <mergeCell ref="A35:A37"/>
    <mergeCell ref="A38:A44"/>
    <mergeCell ref="A46:A48"/>
    <mergeCell ref="A49:A55"/>
    <mergeCell ref="A57:A59"/>
    <mergeCell ref="A60:A66"/>
    <mergeCell ref="A68:A70"/>
    <mergeCell ref="A71:A77"/>
    <mergeCell ref="B2:B4"/>
    <mergeCell ref="B5:B11"/>
    <mergeCell ref="B13:B15"/>
    <mergeCell ref="B16:B22"/>
    <mergeCell ref="B24:B26"/>
    <mergeCell ref="B27:B33"/>
    <mergeCell ref="B35:B37"/>
    <mergeCell ref="B38:B44"/>
    <mergeCell ref="B46:B48"/>
    <mergeCell ref="B49:B55"/>
    <mergeCell ref="B57:B59"/>
    <mergeCell ref="B60:B66"/>
    <mergeCell ref="B68:B70"/>
    <mergeCell ref="B71:B77"/>
    <mergeCell ref="C2:C4"/>
    <mergeCell ref="C5:C11"/>
    <mergeCell ref="C13:C15"/>
    <mergeCell ref="C16:C22"/>
    <mergeCell ref="C24:C26"/>
    <mergeCell ref="C27:C33"/>
    <mergeCell ref="C35:C37"/>
    <mergeCell ref="C38:C44"/>
    <mergeCell ref="C46:C48"/>
    <mergeCell ref="C49:C55"/>
    <mergeCell ref="C57:C59"/>
    <mergeCell ref="C60:C66"/>
    <mergeCell ref="C68:C70"/>
    <mergeCell ref="C71:C77"/>
    <mergeCell ref="C81:C87"/>
    <mergeCell ref="D2:D4"/>
    <mergeCell ref="D5:D11"/>
    <mergeCell ref="D13:D15"/>
    <mergeCell ref="D16:D22"/>
    <mergeCell ref="D24:D26"/>
    <mergeCell ref="D27:D33"/>
    <mergeCell ref="D35:D37"/>
    <mergeCell ref="D38:D44"/>
    <mergeCell ref="D46:D48"/>
    <mergeCell ref="D49:D55"/>
    <mergeCell ref="D57:D59"/>
    <mergeCell ref="D60:D66"/>
    <mergeCell ref="D68:D70"/>
    <mergeCell ref="D71:D77"/>
    <mergeCell ref="D81:D87"/>
    <mergeCell ref="E2:E4"/>
    <mergeCell ref="E5:E11"/>
    <mergeCell ref="E13:E15"/>
    <mergeCell ref="E16:E22"/>
    <mergeCell ref="E24:E26"/>
    <mergeCell ref="E27:E33"/>
    <mergeCell ref="E35:E37"/>
    <mergeCell ref="E38:E44"/>
    <mergeCell ref="E46:E48"/>
    <mergeCell ref="E49:E55"/>
    <mergeCell ref="E57:E59"/>
    <mergeCell ref="E60:E66"/>
    <mergeCell ref="E68:E70"/>
    <mergeCell ref="E71:E77"/>
    <mergeCell ref="E81:E87"/>
    <mergeCell ref="F2:F4"/>
    <mergeCell ref="F5:F11"/>
    <mergeCell ref="F13:F15"/>
    <mergeCell ref="F16:F22"/>
    <mergeCell ref="F24:F26"/>
    <mergeCell ref="F27:F33"/>
    <mergeCell ref="F35:F37"/>
    <mergeCell ref="F38:F44"/>
    <mergeCell ref="F46:F48"/>
    <mergeCell ref="F49:F55"/>
    <mergeCell ref="F57:F59"/>
    <mergeCell ref="F60:F66"/>
    <mergeCell ref="F68:F70"/>
    <mergeCell ref="F71:F77"/>
    <mergeCell ref="F81:F87"/>
    <mergeCell ref="G5:G11"/>
    <mergeCell ref="G16:G22"/>
    <mergeCell ref="G27:G33"/>
    <mergeCell ref="G38:G44"/>
    <mergeCell ref="G49:G55"/>
    <mergeCell ref="G60:G66"/>
    <mergeCell ref="G71:G77"/>
    <mergeCell ref="H5:H11"/>
    <mergeCell ref="H16:H22"/>
    <mergeCell ref="H27:H33"/>
    <mergeCell ref="H38:H44"/>
    <mergeCell ref="H49:H55"/>
    <mergeCell ref="H60:H66"/>
    <mergeCell ref="H71:H77"/>
    <mergeCell ref="I2:I4"/>
    <mergeCell ref="I5:I10"/>
    <mergeCell ref="I13:I15"/>
    <mergeCell ref="I16:I21"/>
    <mergeCell ref="I24:I26"/>
    <mergeCell ref="I27:I32"/>
    <mergeCell ref="I35:I37"/>
    <mergeCell ref="I38:I43"/>
    <mergeCell ref="I46:I48"/>
    <mergeCell ref="I49:I54"/>
    <mergeCell ref="I57:I59"/>
    <mergeCell ref="I60:I65"/>
    <mergeCell ref="I68:I70"/>
    <mergeCell ref="I71:I76"/>
    <mergeCell ref="I81:I87"/>
    <mergeCell ref="J2:J4"/>
    <mergeCell ref="J13:J15"/>
    <mergeCell ref="J24:J26"/>
    <mergeCell ref="J35:J37"/>
    <mergeCell ref="J46:J48"/>
    <mergeCell ref="J57:J59"/>
    <mergeCell ref="J68:J70"/>
    <mergeCell ref="J81:J87"/>
    <mergeCell ref="M2:M4"/>
    <mergeCell ref="M13:M15"/>
    <mergeCell ref="M24:M26"/>
    <mergeCell ref="M35:M37"/>
    <mergeCell ref="M46:M48"/>
    <mergeCell ref="M57:M59"/>
    <mergeCell ref="M68:M70"/>
    <mergeCell ref="Q2:Q3"/>
    <mergeCell ref="Q13:Q14"/>
    <mergeCell ref="Q24:Q25"/>
    <mergeCell ref="Q35:Q36"/>
    <mergeCell ref="Q46:Q47"/>
    <mergeCell ref="Q57:Q58"/>
    <mergeCell ref="Q68:Q69"/>
    <mergeCell ref="R2:R3"/>
    <mergeCell ref="R13:R14"/>
    <mergeCell ref="R24:R25"/>
    <mergeCell ref="R35:R36"/>
    <mergeCell ref="R46:R47"/>
    <mergeCell ref="R57:R58"/>
    <mergeCell ref="R68:R69"/>
    <mergeCell ref="G2:H4"/>
    <mergeCell ref="K2:L3"/>
    <mergeCell ref="N2:P3"/>
    <mergeCell ref="G13:H15"/>
    <mergeCell ref="K13:L14"/>
    <mergeCell ref="N13:P14"/>
    <mergeCell ref="G24:H26"/>
    <mergeCell ref="K24:L25"/>
    <mergeCell ref="N24:P25"/>
    <mergeCell ref="G35:H37"/>
    <mergeCell ref="K35:L36"/>
    <mergeCell ref="N35:P36"/>
    <mergeCell ref="G46:H48"/>
    <mergeCell ref="K46:L47"/>
    <mergeCell ref="N46:P47"/>
    <mergeCell ref="G57:H59"/>
    <mergeCell ref="K57:L58"/>
    <mergeCell ref="N57:P58"/>
    <mergeCell ref="G68:H70"/>
    <mergeCell ref="K68:L69"/>
    <mergeCell ref="N68:P69"/>
    <mergeCell ref="A81:B87"/>
    <mergeCell ref="G81:H87"/>
    <mergeCell ref="K81:L87"/>
    <mergeCell ref="M81:N87"/>
  </mergeCells>
  <pageMargins left="0.75" right="0.75" top="1" bottom="1" header="0.5" footer="0.5"/>
  <pageSetup orientation="portrait" paperSize="9"/>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U87"/>
  <sheetViews>
    <sheetView zoomScale="90" zoomScaleNormal="90" workbookViewId="0">
      <selection activeCell="P5" sqref="P5:P10"/>
    </sheetView>
  </sheetViews>
  <sheetFormatPr defaultColWidth="8.55555555555556" defaultRowHeight="14.4"/>
  <cols>
    <col customWidth="true" max="1" min="1" style="3" width="7"/>
    <col customWidth="true" max="2" min="2" style="3" width="8.77777777777778"/>
    <col customWidth="true" max="3" min="3" style="3" width="18.6388888888889"/>
    <col customWidth="true" max="4" min="4" style="3" width="9.88888888888889"/>
    <col customWidth="true" hidden="true" max="5" min="5" style="3" width="12.7777777777778"/>
    <col customWidth="true" hidden="true" max="6" min="6" style="3" width="12.6666666666667"/>
    <col customWidth="true" max="7" min="7" style="3" width="13.5740740740741"/>
    <col customWidth="true" max="8" min="8" style="3" width="11.5555555555556"/>
    <col customWidth="true" max="9" min="9" style="3" width="13.9444444444444"/>
    <col customWidth="true" max="10" min="10" style="4" width="13.2037037037037"/>
    <col customWidth="true" max="11" min="11" style="3" width="12.5833333333333"/>
    <col customWidth="true" max="12" min="12" style="3" width="15.3055555555556"/>
    <col customWidth="true" max="13" min="13" style="4" width="12.5925925925926"/>
    <col customWidth="true" max="14" min="14" style="3" width="10.8611111111111"/>
    <col customWidth="true" max="15" min="15" style="3" width="11.3518518518519"/>
    <col customWidth="true" max="18" min="16" style="3" width="13.0833333333333"/>
    <col max="16384" min="19" style="3" width="8.55555555555556"/>
  </cols>
  <sheetData>
    <row r="1" spans="1:20" s="1" customFormat="true" ht="58.8" customHeight="true">
      <c r="A1" s="5" t="s">
        <v>53</v>
      </c>
      <c r="B1" s="6"/>
      <c r="C1" s="6"/>
      <c r="D1" s="6"/>
      <c r="E1" s="6"/>
      <c r="F1" s="6"/>
      <c r="G1" s="6"/>
      <c r="H1" s="6"/>
      <c r="I1" s="6"/>
      <c r="J1" s="6"/>
      <c r="K1" s="6"/>
      <c r="L1" s="6"/>
      <c r="M1" s="6" t="s">
        <v>54</v>
      </c>
      <c r="N1" s="6"/>
      <c r="O1" s="6"/>
      <c r="P1" s="51" t="s">
        <v>2</v>
      </c>
      <c r="Q1" s="6"/>
      <c r="R1" s="6"/>
      <c r="T1" s="78"/>
    </row>
    <row r="2" spans="1:20" s="1" customFormat="true" ht="10.95" customHeight="true">
      <c r="A2" s="7" t="s">
        <v>3</v>
      </c>
      <c r="B2" s="7" t="s">
        <v>4</v>
      </c>
      <c r="C2" s="7" t="s">
        <v>55</v>
      </c>
      <c r="D2" s="7" t="s">
        <v>6</v>
      </c>
      <c r="E2" s="7" t="s">
        <v>7</v>
      </c>
      <c r="F2" s="7" t="s">
        <v>8</v>
      </c>
      <c r="G2" s="8" t="s">
        <v>9</v>
      </c>
      <c r="H2" s="9"/>
      <c r="I2" s="7" t="s">
        <v>10</v>
      </c>
      <c r="J2" s="7" t="s">
        <v>11</v>
      </c>
      <c r="K2" s="52" t="s">
        <v>12</v>
      </c>
      <c r="L2" s="9"/>
      <c r="M2" s="7" t="s">
        <v>11</v>
      </c>
      <c r="N2" s="52" t="s">
        <v>13</v>
      </c>
      <c r="O2" s="52"/>
      <c r="P2" s="9"/>
      <c r="Q2" s="9" t="s">
        <v>14</v>
      </c>
      <c r="R2" s="9" t="s">
        <v>15</v>
      </c>
      <c r="T2" s="78"/>
    </row>
    <row r="3" spans="1:20" s="1" customFormat="true" ht="16.05" customHeight="true">
      <c r="A3" s="10"/>
      <c r="B3" s="10"/>
      <c r="C3" s="10"/>
      <c r="D3" s="10"/>
      <c r="E3" s="10"/>
      <c r="F3" s="10"/>
      <c r="G3" s="11"/>
      <c r="H3" s="12"/>
      <c r="I3" s="10"/>
      <c r="J3" s="10"/>
      <c r="K3" s="53"/>
      <c r="L3" s="15"/>
      <c r="M3" s="10"/>
      <c r="N3" s="53"/>
      <c r="O3" s="53"/>
      <c r="P3" s="15"/>
      <c r="Q3" s="15"/>
      <c r="R3" s="15"/>
      <c r="T3" s="78"/>
    </row>
    <row r="4" spans="1:20" s="1" customFormat="true" ht="28.95" customHeight="true">
      <c r="A4" s="13"/>
      <c r="B4" s="13"/>
      <c r="C4" s="13"/>
      <c r="D4" s="13"/>
      <c r="E4" s="13"/>
      <c r="F4" s="13"/>
      <c r="G4" s="14"/>
      <c r="H4" s="15"/>
      <c r="I4" s="13"/>
      <c r="J4" s="13"/>
      <c r="K4" s="54" t="s">
        <v>16</v>
      </c>
      <c r="L4" s="55" t="s">
        <v>17</v>
      </c>
      <c r="M4" s="13"/>
      <c r="N4" s="55" t="s">
        <v>18</v>
      </c>
      <c r="O4" s="55" t="s">
        <v>19</v>
      </c>
      <c r="P4" s="55" t="s">
        <v>20</v>
      </c>
      <c r="Q4" s="55" t="s">
        <v>21</v>
      </c>
      <c r="R4" s="55" t="s">
        <v>22</v>
      </c>
      <c r="T4" s="78"/>
    </row>
    <row r="5" spans="1:20" s="2" customFormat="true" customHeight="true">
      <c r="A5" s="16">
        <v>1</v>
      </c>
      <c r="B5" s="17" t="str">
        <f>=DISPIMG("ID_903C5D025C8C4ABFAE920F0C3E2E02CB",1)</f>
        <v>=DISPIMG("ID_903C5D025C8C4ABFAE920F0C3E2E02CB",1)</v>
      </c>
      <c r="C5" s="18" t="s">
        <v>56</v>
      </c>
      <c r="D5" s="18" t="s">
        <v>57</v>
      </c>
      <c r="E5" s="19"/>
      <c r="F5" s="19"/>
      <c r="G5" s="20" t="s">
        <v>25</v>
      </c>
      <c r="H5" s="21" t="str">
        <f>=DISPIMG("ID_40478DD90BF84788BC25AF9A35173D5A",1)</f>
        <v>=DISPIMG("ID_40478DD90BF84788BC25AF9A35173D5A",1)</v>
      </c>
      <c r="I5" s="56">
        <v>21.01</v>
      </c>
      <c r="J5" s="57" t="s">
        <v>26</v>
      </c>
      <c r="K5" s="23">
        <v>128</v>
      </c>
      <c r="L5" s="58">
        <f>I5*K5</f>
        <v>2689.28</v>
      </c>
      <c r="M5" s="57" t="s">
        <v>26</v>
      </c>
      <c r="N5" s="23">
        <v>0</v>
      </c>
      <c r="O5" s="23">
        <v>17</v>
      </c>
      <c r="P5" s="23">
        <f t="shared" ref="P5:P10" si="0">MAX(0,K5-O5)</f>
        <v>111</v>
      </c>
      <c r="Q5" s="23">
        <v>0</v>
      </c>
      <c r="R5" s="23"/>
      <c r="T5" s="79"/>
    </row>
    <row r="6" spans="1:20" s="2" customFormat="true">
      <c r="A6" s="16"/>
      <c r="B6" s="16"/>
      <c r="C6" s="22"/>
      <c r="D6" s="22"/>
      <c r="E6" s="23"/>
      <c r="F6" s="23"/>
      <c r="G6" s="20"/>
      <c r="H6" s="21"/>
      <c r="I6" s="59"/>
      <c r="J6" s="57" t="s">
        <v>27</v>
      </c>
      <c r="K6" s="23">
        <v>139</v>
      </c>
      <c r="L6" s="58">
        <f>I5*K6</f>
        <v>2920.39</v>
      </c>
      <c r="M6" s="57" t="s">
        <v>27</v>
      </c>
      <c r="N6" s="23">
        <v>0</v>
      </c>
      <c r="O6" s="23">
        <v>20</v>
      </c>
      <c r="P6" s="23">
        <f t="shared" si="0"/>
        <v>119</v>
      </c>
      <c r="Q6" s="23">
        <v>2</v>
      </c>
      <c r="R6" s="23"/>
      <c r="T6" s="79"/>
    </row>
    <row r="7" spans="1:20" s="2" customFormat="true">
      <c r="A7" s="16"/>
      <c r="B7" s="16"/>
      <c r="C7" s="22"/>
      <c r="D7" s="22"/>
      <c r="E7" s="23"/>
      <c r="F7" s="23"/>
      <c r="G7" s="20"/>
      <c r="H7" s="21"/>
      <c r="I7" s="59"/>
      <c r="J7" s="57" t="s">
        <v>28</v>
      </c>
      <c r="K7" s="23">
        <v>151</v>
      </c>
      <c r="L7" s="58">
        <f>I5*K7</f>
        <v>3172.51</v>
      </c>
      <c r="M7" s="57" t="s">
        <v>28</v>
      </c>
      <c r="N7" s="23">
        <v>0</v>
      </c>
      <c r="O7" s="23">
        <v>23</v>
      </c>
      <c r="P7" s="23">
        <f t="shared" si="0"/>
        <v>128</v>
      </c>
      <c r="Q7" s="23">
        <v>3</v>
      </c>
      <c r="R7" s="23"/>
      <c r="T7" s="79"/>
    </row>
    <row r="8" spans="1:20" s="2" customFormat="true">
      <c r="A8" s="16"/>
      <c r="B8" s="16"/>
      <c r="C8" s="22"/>
      <c r="D8" s="22"/>
      <c r="E8" s="23"/>
      <c r="F8" s="23"/>
      <c r="G8" s="20"/>
      <c r="H8" s="21"/>
      <c r="I8" s="59"/>
      <c r="J8" s="57" t="s">
        <v>29</v>
      </c>
      <c r="K8" s="23">
        <v>123</v>
      </c>
      <c r="L8" s="58">
        <f>I5*K8</f>
        <v>2584.23</v>
      </c>
      <c r="M8" s="57" t="s">
        <v>29</v>
      </c>
      <c r="N8" s="23">
        <v>0</v>
      </c>
      <c r="O8" s="23">
        <v>22</v>
      </c>
      <c r="P8" s="23">
        <f t="shared" si="0"/>
        <v>101</v>
      </c>
      <c r="Q8" s="23">
        <v>3</v>
      </c>
      <c r="R8" s="23"/>
      <c r="T8" s="79"/>
    </row>
    <row r="9" spans="1:20" s="2" customFormat="true">
      <c r="A9" s="16"/>
      <c r="B9" s="16"/>
      <c r="C9" s="22"/>
      <c r="D9" s="22"/>
      <c r="E9" s="23"/>
      <c r="F9" s="23"/>
      <c r="G9" s="20"/>
      <c r="H9" s="21"/>
      <c r="I9" s="59"/>
      <c r="J9" s="57" t="s">
        <v>30</v>
      </c>
      <c r="K9" s="23">
        <v>111</v>
      </c>
      <c r="L9" s="58">
        <f>I5*K9</f>
        <v>2332.11</v>
      </c>
      <c r="M9" s="57" t="s">
        <v>30</v>
      </c>
      <c r="N9" s="23">
        <v>0</v>
      </c>
      <c r="O9" s="23">
        <v>15</v>
      </c>
      <c r="P9" s="23">
        <f t="shared" si="0"/>
        <v>96</v>
      </c>
      <c r="Q9" s="23">
        <v>0</v>
      </c>
      <c r="R9" s="23"/>
      <c r="T9" s="79"/>
    </row>
    <row r="10" spans="1:20" s="2" customFormat="true">
      <c r="A10" s="16"/>
      <c r="B10" s="16"/>
      <c r="C10" s="22"/>
      <c r="D10" s="22"/>
      <c r="E10" s="23"/>
      <c r="F10" s="23"/>
      <c r="G10" s="20"/>
      <c r="H10" s="21"/>
      <c r="I10" s="60"/>
      <c r="J10" s="23" t="s">
        <v>31</v>
      </c>
      <c r="K10" s="23">
        <v>105</v>
      </c>
      <c r="L10" s="58">
        <f>I5*K10</f>
        <v>2206.05</v>
      </c>
      <c r="M10" s="23" t="s">
        <v>31</v>
      </c>
      <c r="N10" s="23">
        <v>0</v>
      </c>
      <c r="O10" s="23">
        <v>13</v>
      </c>
      <c r="P10" s="23">
        <f t="shared" si="0"/>
        <v>92</v>
      </c>
      <c r="Q10" s="23">
        <v>0</v>
      </c>
      <c r="R10" s="23"/>
      <c r="T10" s="79"/>
    </row>
    <row r="11" spans="1:20" s="2" customFormat="true">
      <c r="A11" s="24"/>
      <c r="B11" s="24"/>
      <c r="C11" s="25"/>
      <c r="D11" s="25"/>
      <c r="E11" s="23"/>
      <c r="F11" s="23"/>
      <c r="G11" s="26"/>
      <c r="H11" s="27"/>
      <c r="J11" s="61" t="s">
        <v>32</v>
      </c>
      <c r="K11" s="62">
        <f t="shared" ref="K11:N11" si="1">SUM(K5:K10)</f>
        <v>757</v>
      </c>
      <c r="L11" s="63">
        <f t="shared" si="1"/>
        <v>15904.57</v>
      </c>
      <c r="M11" s="61" t="s">
        <v>32</v>
      </c>
      <c r="N11" s="62">
        <f t="shared" si="1"/>
        <v>0</v>
      </c>
      <c r="O11" s="62" cm="1">
        <f t="array" ref="O11">SUMPRODUCT(--(O5:O10))</f>
        <v>110</v>
      </c>
      <c r="P11" s="64" cm="1">
        <f t="array" ref="P11">SUMPRODUCT(--(P5:P10))</f>
        <v>647</v>
      </c>
      <c r="Q11" s="64">
        <f>SUM(Q5:Q10)</f>
        <v>8</v>
      </c>
      <c r="R11" s="64">
        <f>SUM(R5:R10)</f>
        <v>0</v>
      </c>
      <c r="T11" s="79"/>
    </row>
    <row r="12" spans="1:20" s="2" customFormat="true" ht="17.4" customHeight="true">
      <c r="A12" s="28"/>
      <c r="B12" s="29"/>
      <c r="C12" s="29"/>
      <c r="D12" s="29"/>
      <c r="E12" s="29"/>
      <c r="F12" s="29"/>
      <c r="G12" s="29"/>
      <c r="H12" s="29"/>
      <c r="I12" s="29"/>
      <c r="J12" s="29"/>
      <c r="K12" s="29"/>
      <c r="L12" s="29"/>
      <c r="M12" s="29"/>
      <c r="N12" s="29"/>
      <c r="O12" s="29"/>
      <c r="P12" s="29"/>
      <c r="Q12" s="29"/>
      <c r="R12" s="29"/>
      <c r="T12" s="79"/>
    </row>
    <row r="13" spans="1:21" s="1" customFormat="true" ht="10.95" customHeight="true">
      <c r="A13" s="7" t="s">
        <v>3</v>
      </c>
      <c r="B13" s="30" t="s">
        <v>4</v>
      </c>
      <c r="C13" s="30" t="s">
        <v>55</v>
      </c>
      <c r="D13" s="30" t="s">
        <v>6</v>
      </c>
      <c r="E13" s="30" t="s">
        <v>7</v>
      </c>
      <c r="F13" s="30" t="s">
        <v>8</v>
      </c>
      <c r="G13" s="30" t="s">
        <v>9</v>
      </c>
      <c r="H13" s="30"/>
      <c r="I13" s="7" t="s">
        <v>10</v>
      </c>
      <c r="J13" s="7" t="s">
        <v>11</v>
      </c>
      <c r="K13" s="8" t="s">
        <v>12</v>
      </c>
      <c r="L13" s="9"/>
      <c r="M13" s="7" t="s">
        <v>11</v>
      </c>
      <c r="N13" s="52" t="s">
        <v>13</v>
      </c>
      <c r="O13" s="52"/>
      <c r="P13" s="9"/>
      <c r="Q13" s="9" t="s">
        <v>14</v>
      </c>
      <c r="R13" s="9" t="s">
        <v>15</v>
      </c>
      <c r="T13" s="78"/>
      <c r="U13" s="2"/>
    </row>
    <row r="14" spans="1:20" s="1" customFormat="true" ht="16.05" customHeight="true">
      <c r="A14" s="10"/>
      <c r="B14" s="30"/>
      <c r="C14" s="30"/>
      <c r="D14" s="30"/>
      <c r="E14" s="30"/>
      <c r="F14" s="30"/>
      <c r="G14" s="30"/>
      <c r="H14" s="30"/>
      <c r="I14" s="10"/>
      <c r="J14" s="10"/>
      <c r="K14" s="14"/>
      <c r="L14" s="15"/>
      <c r="M14" s="10"/>
      <c r="N14" s="53"/>
      <c r="O14" s="53"/>
      <c r="P14" s="15"/>
      <c r="Q14" s="15"/>
      <c r="R14" s="15"/>
      <c r="T14" s="78"/>
    </row>
    <row r="15" spans="1:20" s="1" customFormat="true" ht="28.95" customHeight="true">
      <c r="A15" s="13"/>
      <c r="B15" s="30"/>
      <c r="C15" s="30"/>
      <c r="D15" s="30"/>
      <c r="E15" s="30"/>
      <c r="F15" s="30"/>
      <c r="G15" s="30"/>
      <c r="H15" s="30"/>
      <c r="I15" s="13"/>
      <c r="J15" s="13"/>
      <c r="K15" s="54" t="s">
        <v>16</v>
      </c>
      <c r="L15" s="55" t="s">
        <v>17</v>
      </c>
      <c r="M15" s="13"/>
      <c r="N15" s="55" t="s">
        <v>18</v>
      </c>
      <c r="O15" s="55" t="s">
        <v>19</v>
      </c>
      <c r="P15" s="55" t="s">
        <v>20</v>
      </c>
      <c r="Q15" s="55" t="s">
        <v>21</v>
      </c>
      <c r="R15" s="55" t="s">
        <v>22</v>
      </c>
      <c r="T15" s="78"/>
    </row>
    <row r="16" spans="1:20" s="2" customFormat="true" ht="13.95" customHeight="true">
      <c r="A16" s="16">
        <v>2</v>
      </c>
      <c r="B16" s="17" t="str">
        <f>=DISPIMG("ID_8D899622A9584D53B47BA66447A564A9",1)</f>
        <v>=DISPIMG("ID_8D899622A9584D53B47BA66447A564A9",1)</v>
      </c>
      <c r="C16" s="18" t="s">
        <v>58</v>
      </c>
      <c r="D16" s="18" t="s">
        <v>57</v>
      </c>
      <c r="E16" s="19"/>
      <c r="F16" s="19"/>
      <c r="G16" s="20" t="s">
        <v>34</v>
      </c>
      <c r="H16" s="21" t="str">
        <f>=DISPIMG("ID_0CFE76F291F3445DBB51FE6BA7063D21",1)</f>
        <v>=DISPIMG("ID_0CFE76F291F3445DBB51FE6BA7063D21",1)</v>
      </c>
      <c r="I16" s="56">
        <v>21.01</v>
      </c>
      <c r="J16" s="57" t="s">
        <v>26</v>
      </c>
      <c r="K16" s="23">
        <v>128</v>
      </c>
      <c r="L16" s="58">
        <f>I16*K16</f>
        <v>2689.28</v>
      </c>
      <c r="M16" s="57" t="s">
        <v>26</v>
      </c>
      <c r="N16" s="23">
        <v>0</v>
      </c>
      <c r="O16" s="23">
        <v>13</v>
      </c>
      <c r="P16" s="23">
        <f t="shared" ref="P16:P21" si="2">MAX(0,K16-O16)</f>
        <v>115</v>
      </c>
      <c r="Q16" s="23">
        <v>4</v>
      </c>
      <c r="R16" s="23"/>
      <c r="T16" s="79"/>
    </row>
    <row r="17" spans="1:20" s="2" customFormat="true">
      <c r="A17" s="16"/>
      <c r="B17" s="16"/>
      <c r="C17" s="22"/>
      <c r="D17" s="22"/>
      <c r="E17" s="23"/>
      <c r="F17" s="23"/>
      <c r="G17" s="20"/>
      <c r="H17" s="21"/>
      <c r="I17" s="59"/>
      <c r="J17" s="57" t="s">
        <v>27</v>
      </c>
      <c r="K17" s="23">
        <v>279</v>
      </c>
      <c r="L17" s="58">
        <f>I16*K17</f>
        <v>5861.79</v>
      </c>
      <c r="M17" s="57" t="s">
        <v>27</v>
      </c>
      <c r="N17" s="23">
        <v>1</v>
      </c>
      <c r="O17" s="23">
        <v>44</v>
      </c>
      <c r="P17" s="23">
        <f t="shared" si="2"/>
        <v>235</v>
      </c>
      <c r="Q17" s="23">
        <v>4</v>
      </c>
      <c r="R17" s="23"/>
      <c r="T17" s="79"/>
    </row>
    <row r="18" spans="1:20" s="2" customFormat="true">
      <c r="A18" s="16"/>
      <c r="B18" s="16"/>
      <c r="C18" s="22"/>
      <c r="D18" s="22"/>
      <c r="E18" s="23"/>
      <c r="F18" s="23"/>
      <c r="G18" s="20"/>
      <c r="H18" s="21"/>
      <c r="I18" s="59"/>
      <c r="J18" s="57" t="s">
        <v>28</v>
      </c>
      <c r="K18" s="23">
        <v>314</v>
      </c>
      <c r="L18" s="58">
        <f>I16*K18</f>
        <v>6597.14</v>
      </c>
      <c r="M18" s="57" t="s">
        <v>28</v>
      </c>
      <c r="N18" s="23">
        <v>1</v>
      </c>
      <c r="O18" s="23">
        <v>36</v>
      </c>
      <c r="P18" s="23">
        <f t="shared" si="2"/>
        <v>278</v>
      </c>
      <c r="Q18" s="23">
        <v>14</v>
      </c>
      <c r="R18" s="23"/>
      <c r="T18" s="79"/>
    </row>
    <row r="19" spans="1:20" s="2" customFormat="true">
      <c r="A19" s="16"/>
      <c r="B19" s="16"/>
      <c r="C19" s="22"/>
      <c r="D19" s="22"/>
      <c r="E19" s="23"/>
      <c r="F19" s="23"/>
      <c r="G19" s="20"/>
      <c r="H19" s="21"/>
      <c r="I19" s="59"/>
      <c r="J19" s="57" t="s">
        <v>29</v>
      </c>
      <c r="K19" s="23">
        <v>232</v>
      </c>
      <c r="L19" s="58">
        <f>I16*K19</f>
        <v>4874.32</v>
      </c>
      <c r="M19" s="57" t="s">
        <v>29</v>
      </c>
      <c r="N19" s="23">
        <v>0</v>
      </c>
      <c r="O19" s="23">
        <v>29</v>
      </c>
      <c r="P19" s="23">
        <f t="shared" si="2"/>
        <v>203</v>
      </c>
      <c r="Q19" s="23">
        <v>5</v>
      </c>
      <c r="R19" s="23"/>
      <c r="T19" s="79"/>
    </row>
    <row r="20" spans="1:20" s="2" customFormat="true">
      <c r="A20" s="16"/>
      <c r="B20" s="16"/>
      <c r="C20" s="22"/>
      <c r="D20" s="22"/>
      <c r="E20" s="23"/>
      <c r="F20" s="23"/>
      <c r="G20" s="20"/>
      <c r="H20" s="21"/>
      <c r="I20" s="59"/>
      <c r="J20" s="57" t="s">
        <v>30</v>
      </c>
      <c r="K20" s="23">
        <v>222</v>
      </c>
      <c r="L20" s="58">
        <f>I16*K20</f>
        <v>4664.22</v>
      </c>
      <c r="M20" s="57" t="s">
        <v>30</v>
      </c>
      <c r="N20" s="23">
        <v>0</v>
      </c>
      <c r="O20" s="23">
        <v>15</v>
      </c>
      <c r="P20" s="23">
        <f t="shared" si="2"/>
        <v>207</v>
      </c>
      <c r="Q20" s="23">
        <v>1</v>
      </c>
      <c r="R20" s="23"/>
      <c r="T20" s="79"/>
    </row>
    <row r="21" spans="1:20" s="2" customFormat="true">
      <c r="A21" s="16"/>
      <c r="B21" s="16"/>
      <c r="C21" s="22"/>
      <c r="D21" s="22"/>
      <c r="E21" s="23"/>
      <c r="F21" s="23"/>
      <c r="G21" s="20"/>
      <c r="H21" s="21"/>
      <c r="I21" s="60"/>
      <c r="J21" s="23" t="s">
        <v>31</v>
      </c>
      <c r="K21" s="23">
        <v>108</v>
      </c>
      <c r="L21" s="58">
        <f>I16*K21</f>
        <v>2269.08</v>
      </c>
      <c r="M21" s="23" t="s">
        <v>31</v>
      </c>
      <c r="N21" s="23">
        <v>0</v>
      </c>
      <c r="O21" s="23">
        <v>13</v>
      </c>
      <c r="P21" s="23">
        <f t="shared" si="2"/>
        <v>95</v>
      </c>
      <c r="Q21" s="23">
        <v>1</v>
      </c>
      <c r="R21" s="23"/>
      <c r="T21" s="79"/>
    </row>
    <row r="22" spans="1:20" s="2" customFormat="true">
      <c r="A22" s="24"/>
      <c r="B22" s="24"/>
      <c r="C22" s="25"/>
      <c r="D22" s="25"/>
      <c r="E22" s="23"/>
      <c r="F22" s="23"/>
      <c r="G22" s="26"/>
      <c r="H22" s="27"/>
      <c r="I22" s="62"/>
      <c r="J22" s="61" t="s">
        <v>32</v>
      </c>
      <c r="K22" s="62">
        <f t="shared" ref="K22:N22" si="3">SUM(K16:K21)</f>
        <v>1283</v>
      </c>
      <c r="L22" s="63">
        <f t="shared" si="3"/>
        <v>26955.83</v>
      </c>
      <c r="M22" s="61" t="s">
        <v>32</v>
      </c>
      <c r="N22" s="62">
        <f t="shared" si="3"/>
        <v>2</v>
      </c>
      <c r="O22" s="62" cm="1">
        <f t="array" ref="O22">SUMPRODUCT(--(O16:O21))</f>
        <v>150</v>
      </c>
      <c r="P22" s="64" cm="1">
        <f t="array" ref="P22">SUMPRODUCT(--(P16:P21))</f>
        <v>1133</v>
      </c>
      <c r="Q22" s="64">
        <f>SUM(Q16:Q21)</f>
        <v>29</v>
      </c>
      <c r="R22" s="64">
        <f>SUM(R16:R21)</f>
        <v>0</v>
      </c>
      <c r="T22" s="79"/>
    </row>
    <row r="23" spans="1:20" s="2" customFormat="true" ht="17.4" customHeight="true">
      <c r="A23" s="28"/>
      <c r="B23" s="29"/>
      <c r="C23" s="29"/>
      <c r="D23" s="29"/>
      <c r="E23" s="29"/>
      <c r="F23" s="29"/>
      <c r="G23" s="29"/>
      <c r="H23" s="29"/>
      <c r="I23" s="29"/>
      <c r="J23" s="29"/>
      <c r="K23" s="29"/>
      <c r="L23" s="29"/>
      <c r="M23" s="29"/>
      <c r="N23" s="29"/>
      <c r="O23" s="29"/>
      <c r="P23" s="29"/>
      <c r="Q23" s="65"/>
      <c r="R23" s="65"/>
      <c r="T23" s="79"/>
    </row>
    <row r="24" spans="1:20" s="1" customFormat="true" ht="10.95" customHeight="true">
      <c r="A24" s="7" t="s">
        <v>3</v>
      </c>
      <c r="B24" s="30" t="s">
        <v>4</v>
      </c>
      <c r="C24" s="30" t="s">
        <v>55</v>
      </c>
      <c r="D24" s="30" t="s">
        <v>6</v>
      </c>
      <c r="E24" s="30" t="s">
        <v>7</v>
      </c>
      <c r="F24" s="30" t="s">
        <v>8</v>
      </c>
      <c r="G24" s="30" t="s">
        <v>9</v>
      </c>
      <c r="H24" s="30"/>
      <c r="I24" s="7" t="s">
        <v>10</v>
      </c>
      <c r="J24" s="7" t="s">
        <v>11</v>
      </c>
      <c r="K24" s="8" t="s">
        <v>12</v>
      </c>
      <c r="L24" s="9"/>
      <c r="M24" s="7" t="s">
        <v>11</v>
      </c>
      <c r="N24" s="52" t="s">
        <v>13</v>
      </c>
      <c r="O24" s="52"/>
      <c r="P24" s="9"/>
      <c r="Q24" s="9" t="s">
        <v>14</v>
      </c>
      <c r="R24" s="9" t="s">
        <v>15</v>
      </c>
      <c r="T24" s="78"/>
    </row>
    <row r="25" spans="1:20" s="1" customFormat="true" ht="16.05" customHeight="true">
      <c r="A25" s="10"/>
      <c r="B25" s="30"/>
      <c r="C25" s="30"/>
      <c r="D25" s="30"/>
      <c r="E25" s="30"/>
      <c r="F25" s="30"/>
      <c r="G25" s="30"/>
      <c r="H25" s="30"/>
      <c r="I25" s="10"/>
      <c r="J25" s="10"/>
      <c r="K25" s="14"/>
      <c r="L25" s="15"/>
      <c r="M25" s="10"/>
      <c r="N25" s="53"/>
      <c r="O25" s="53"/>
      <c r="P25" s="15"/>
      <c r="Q25" s="15"/>
      <c r="R25" s="15"/>
      <c r="T25" s="78"/>
    </row>
    <row r="26" spans="1:20" s="1" customFormat="true" ht="28.95" customHeight="true">
      <c r="A26" s="13"/>
      <c r="B26" s="30"/>
      <c r="C26" s="30"/>
      <c r="D26" s="30"/>
      <c r="E26" s="30"/>
      <c r="F26" s="30"/>
      <c r="G26" s="30"/>
      <c r="H26" s="30"/>
      <c r="I26" s="13"/>
      <c r="J26" s="13"/>
      <c r="K26" s="54" t="s">
        <v>16</v>
      </c>
      <c r="L26" s="55" t="s">
        <v>17</v>
      </c>
      <c r="M26" s="13"/>
      <c r="N26" s="55" t="s">
        <v>18</v>
      </c>
      <c r="O26" s="55" t="s">
        <v>19</v>
      </c>
      <c r="P26" s="55" t="s">
        <v>20</v>
      </c>
      <c r="Q26" s="55" t="s">
        <v>21</v>
      </c>
      <c r="R26" s="55" t="s">
        <v>22</v>
      </c>
      <c r="T26" s="78"/>
    </row>
    <row r="27" spans="1:20" s="2" customFormat="true" ht="13.95" customHeight="true">
      <c r="A27" s="16">
        <v>3</v>
      </c>
      <c r="B27" s="17" t="str">
        <f>=DISPIMG("ID_76E7BE4E846D4AB19815B43009C942D8",1)</f>
        <v>=DISPIMG("ID_76E7BE4E846D4AB19815B43009C942D8",1)</v>
      </c>
      <c r="C27" s="18" t="s">
        <v>59</v>
      </c>
      <c r="D27" s="18" t="s">
        <v>57</v>
      </c>
      <c r="E27" s="19"/>
      <c r="F27" s="19"/>
      <c r="G27" s="20" t="s">
        <v>60</v>
      </c>
      <c r="H27" s="21" t="str">
        <f>=DISPIMG("ID_6AB85B96E7C144B9ACD56C72345E9593",1)</f>
        <v>=DISPIMG("ID_6AB85B96E7C144B9ACD56C72345E9593",1)</v>
      </c>
      <c r="I27" s="56">
        <v>21.01</v>
      </c>
      <c r="J27" s="57" t="s">
        <v>26</v>
      </c>
      <c r="K27" s="23">
        <v>0</v>
      </c>
      <c r="L27" s="58">
        <f>I27*K27</f>
        <v>0</v>
      </c>
      <c r="M27" s="57" t="s">
        <v>26</v>
      </c>
      <c r="N27" s="23">
        <v>0</v>
      </c>
      <c r="O27" s="23">
        <f t="shared" ref="O27:O32" si="4">K27-P27</f>
        <v>0</v>
      </c>
      <c r="P27" s="23">
        <v>0</v>
      </c>
      <c r="Q27" s="23"/>
      <c r="R27" s="23"/>
      <c r="T27" s="79"/>
    </row>
    <row r="28" spans="1:20" s="2" customFormat="true">
      <c r="A28" s="16"/>
      <c r="B28" s="16"/>
      <c r="C28" s="22"/>
      <c r="D28" s="22"/>
      <c r="E28" s="23"/>
      <c r="F28" s="23"/>
      <c r="G28" s="20"/>
      <c r="H28" s="21"/>
      <c r="I28" s="59"/>
      <c r="J28" s="57" t="s">
        <v>27</v>
      </c>
      <c r="K28" s="23">
        <v>104</v>
      </c>
      <c r="L28" s="58">
        <f>I27*K28</f>
        <v>2185.04</v>
      </c>
      <c r="M28" s="57" t="s">
        <v>27</v>
      </c>
      <c r="N28" s="23">
        <v>0</v>
      </c>
      <c r="O28" s="23">
        <v>0</v>
      </c>
      <c r="P28" s="23">
        <f t="shared" ref="P28:P30" si="5">MAX(0,K28-O28)</f>
        <v>104</v>
      </c>
      <c r="Q28" s="23">
        <v>0</v>
      </c>
      <c r="R28" s="23"/>
      <c r="T28" s="79"/>
    </row>
    <row r="29" spans="1:20" s="2" customFormat="true">
      <c r="A29" s="16"/>
      <c r="B29" s="16"/>
      <c r="C29" s="22"/>
      <c r="D29" s="22"/>
      <c r="E29" s="23"/>
      <c r="F29" s="23"/>
      <c r="G29" s="20"/>
      <c r="H29" s="21"/>
      <c r="I29" s="59"/>
      <c r="J29" s="57" t="s">
        <v>28</v>
      </c>
      <c r="K29" s="23">
        <v>89</v>
      </c>
      <c r="L29" s="58">
        <f>I27*K29</f>
        <v>1869.89</v>
      </c>
      <c r="M29" s="57" t="s">
        <v>28</v>
      </c>
      <c r="N29" s="23">
        <v>0</v>
      </c>
      <c r="O29" s="23">
        <v>1</v>
      </c>
      <c r="P29" s="23">
        <f t="shared" si="5"/>
        <v>88</v>
      </c>
      <c r="Q29" s="23">
        <v>0</v>
      </c>
      <c r="R29" s="23"/>
      <c r="T29" s="79"/>
    </row>
    <row r="30" spans="1:20" s="2" customFormat="true">
      <c r="A30" s="16"/>
      <c r="B30" s="16"/>
      <c r="C30" s="22"/>
      <c r="D30" s="22"/>
      <c r="E30" s="23"/>
      <c r="F30" s="23"/>
      <c r="G30" s="20"/>
      <c r="H30" s="21"/>
      <c r="I30" s="59"/>
      <c r="J30" s="57" t="s">
        <v>29</v>
      </c>
      <c r="K30" s="23">
        <v>107</v>
      </c>
      <c r="L30" s="58">
        <f>I27*K30</f>
        <v>2248.07</v>
      </c>
      <c r="M30" s="57" t="s">
        <v>29</v>
      </c>
      <c r="N30" s="23">
        <v>0</v>
      </c>
      <c r="O30" s="23">
        <v>0</v>
      </c>
      <c r="P30" s="23">
        <f t="shared" si="5"/>
        <v>107</v>
      </c>
      <c r="Q30" s="23">
        <v>0</v>
      </c>
      <c r="R30" s="23"/>
      <c r="T30" s="79"/>
    </row>
    <row r="31" spans="1:20" s="2" customFormat="true">
      <c r="A31" s="16"/>
      <c r="B31" s="16"/>
      <c r="C31" s="22"/>
      <c r="D31" s="22"/>
      <c r="E31" s="23"/>
      <c r="F31" s="23"/>
      <c r="G31" s="20"/>
      <c r="H31" s="21"/>
      <c r="I31" s="59"/>
      <c r="J31" s="57" t="s">
        <v>30</v>
      </c>
      <c r="K31" s="23">
        <v>0</v>
      </c>
      <c r="L31" s="58">
        <f>I27*K31</f>
        <v>0</v>
      </c>
      <c r="M31" s="57" t="s">
        <v>30</v>
      </c>
      <c r="N31" s="23">
        <v>0</v>
      </c>
      <c r="O31" s="23">
        <f t="shared" si="4"/>
        <v>0</v>
      </c>
      <c r="P31" s="23">
        <v>0</v>
      </c>
      <c r="Q31" s="23"/>
      <c r="R31" s="23"/>
      <c r="T31" s="79"/>
    </row>
    <row r="32" spans="1:20" s="2" customFormat="true">
      <c r="A32" s="16"/>
      <c r="B32" s="16"/>
      <c r="C32" s="22"/>
      <c r="D32" s="22"/>
      <c r="E32" s="23"/>
      <c r="F32" s="23"/>
      <c r="G32" s="20"/>
      <c r="H32" s="21"/>
      <c r="I32" s="60"/>
      <c r="J32" s="23" t="s">
        <v>31</v>
      </c>
      <c r="K32" s="23">
        <v>0</v>
      </c>
      <c r="L32" s="58">
        <f>I27*K32</f>
        <v>0</v>
      </c>
      <c r="M32" s="23" t="s">
        <v>31</v>
      </c>
      <c r="N32" s="23">
        <v>0</v>
      </c>
      <c r="O32" s="23">
        <f t="shared" si="4"/>
        <v>0</v>
      </c>
      <c r="P32" s="23">
        <v>0</v>
      </c>
      <c r="Q32" s="23"/>
      <c r="R32" s="23"/>
      <c r="T32" s="79"/>
    </row>
    <row r="33" spans="1:20" s="2" customFormat="true">
      <c r="A33" s="24"/>
      <c r="B33" s="24"/>
      <c r="C33" s="25"/>
      <c r="D33" s="25"/>
      <c r="E33" s="23"/>
      <c r="F33" s="23"/>
      <c r="G33" s="26"/>
      <c r="H33" s="27"/>
      <c r="I33" s="62"/>
      <c r="J33" s="61" t="s">
        <v>32</v>
      </c>
      <c r="K33" s="62">
        <f t="shared" ref="K33:N33" si="6">SUM(K27:K32)</f>
        <v>300</v>
      </c>
      <c r="L33" s="63">
        <f t="shared" si="6"/>
        <v>6303</v>
      </c>
      <c r="M33" s="61" t="s">
        <v>32</v>
      </c>
      <c r="N33" s="62">
        <f t="shared" si="6"/>
        <v>0</v>
      </c>
      <c r="O33" s="62" cm="1">
        <f t="array" ref="O33">SUMPRODUCT(--(O27:O32))</f>
        <v>1</v>
      </c>
      <c r="P33" s="64" cm="1">
        <f t="array" ref="P33">SUMPRODUCT(--(P27:P32))</f>
        <v>299</v>
      </c>
      <c r="Q33" s="64">
        <f>SUM(Q27:Q32)</f>
        <v>0</v>
      </c>
      <c r="R33" s="64">
        <f>SUM(R27:R32)</f>
        <v>0</v>
      </c>
      <c r="T33" s="79"/>
    </row>
    <row r="34" spans="1:20" s="2" customFormat="true" ht="17.4" customHeight="true">
      <c r="A34" s="28"/>
      <c r="B34" s="29"/>
      <c r="C34" s="29"/>
      <c r="D34" s="29"/>
      <c r="E34" s="29"/>
      <c r="F34" s="29"/>
      <c r="G34" s="29"/>
      <c r="H34" s="29"/>
      <c r="I34" s="29"/>
      <c r="J34" s="29"/>
      <c r="K34" s="29"/>
      <c r="L34" s="29"/>
      <c r="M34" s="29"/>
      <c r="N34" s="29"/>
      <c r="O34" s="29"/>
      <c r="P34" s="29"/>
      <c r="Q34" s="29"/>
      <c r="R34" s="29"/>
      <c r="T34" s="79"/>
    </row>
    <row r="35" spans="1:20" s="1" customFormat="true" ht="10.95" customHeight="true">
      <c r="A35" s="7" t="s">
        <v>3</v>
      </c>
      <c r="B35" s="30" t="s">
        <v>4</v>
      </c>
      <c r="C35" s="30" t="s">
        <v>55</v>
      </c>
      <c r="D35" s="30" t="s">
        <v>6</v>
      </c>
      <c r="E35" s="30" t="s">
        <v>7</v>
      </c>
      <c r="F35" s="30" t="s">
        <v>8</v>
      </c>
      <c r="G35" s="30" t="s">
        <v>9</v>
      </c>
      <c r="H35" s="30"/>
      <c r="I35" s="7" t="s">
        <v>10</v>
      </c>
      <c r="J35" s="7" t="s">
        <v>11</v>
      </c>
      <c r="K35" s="8" t="s">
        <v>12</v>
      </c>
      <c r="L35" s="9"/>
      <c r="M35" s="7" t="s">
        <v>11</v>
      </c>
      <c r="N35" s="52" t="s">
        <v>13</v>
      </c>
      <c r="O35" s="52"/>
      <c r="P35" s="9"/>
      <c r="Q35" s="9" t="s">
        <v>14</v>
      </c>
      <c r="R35" s="9" t="s">
        <v>15</v>
      </c>
      <c r="T35" s="78"/>
    </row>
    <row r="36" spans="1:20" s="1" customFormat="true" ht="16.05" customHeight="true">
      <c r="A36" s="10"/>
      <c r="B36" s="30"/>
      <c r="C36" s="30"/>
      <c r="D36" s="30"/>
      <c r="E36" s="30"/>
      <c r="F36" s="30"/>
      <c r="G36" s="30"/>
      <c r="H36" s="30"/>
      <c r="I36" s="10"/>
      <c r="J36" s="10"/>
      <c r="K36" s="14"/>
      <c r="L36" s="15"/>
      <c r="M36" s="10"/>
      <c r="N36" s="53"/>
      <c r="O36" s="53"/>
      <c r="P36" s="15"/>
      <c r="Q36" s="15"/>
      <c r="R36" s="15"/>
      <c r="T36" s="78"/>
    </row>
    <row r="37" spans="1:20" s="1" customFormat="true" ht="28.95" customHeight="true">
      <c r="A37" s="13"/>
      <c r="B37" s="30"/>
      <c r="C37" s="30"/>
      <c r="D37" s="30"/>
      <c r="E37" s="30"/>
      <c r="F37" s="30"/>
      <c r="G37" s="30"/>
      <c r="H37" s="30"/>
      <c r="I37" s="13"/>
      <c r="J37" s="13"/>
      <c r="K37" s="54" t="s">
        <v>16</v>
      </c>
      <c r="L37" s="55" t="s">
        <v>17</v>
      </c>
      <c r="M37" s="13"/>
      <c r="N37" s="55" t="s">
        <v>18</v>
      </c>
      <c r="O37" s="55" t="s">
        <v>19</v>
      </c>
      <c r="P37" s="55" t="s">
        <v>20</v>
      </c>
      <c r="Q37" s="55" t="s">
        <v>21</v>
      </c>
      <c r="R37" s="55" t="s">
        <v>22</v>
      </c>
      <c r="T37" s="78"/>
    </row>
    <row r="38" spans="1:20" s="2" customFormat="true" ht="13.95" customHeight="true">
      <c r="A38" s="16">
        <v>4</v>
      </c>
      <c r="B38" s="17" t="str">
        <f>=DISPIMG("ID_CC1C2CDC27164234BFBF21861E422C4D",1)</f>
        <v>=DISPIMG("ID_CC1C2CDC27164234BFBF21861E422C4D",1)</v>
      </c>
      <c r="C38" s="18" t="s">
        <v>61</v>
      </c>
      <c r="D38" s="18" t="s">
        <v>57</v>
      </c>
      <c r="E38" s="19"/>
      <c r="F38" s="19"/>
      <c r="G38" s="20" t="s">
        <v>36</v>
      </c>
      <c r="H38" s="21" t="str">
        <f>=DISPIMG("ID_0DB94127D942496B82DBEA237E42EAF7",1)</f>
        <v>=DISPIMG("ID_0DB94127D942496B82DBEA237E42EAF7",1)</v>
      </c>
      <c r="I38" s="56">
        <v>21.01</v>
      </c>
      <c r="J38" s="57" t="s">
        <v>26</v>
      </c>
      <c r="K38" s="23">
        <v>125</v>
      </c>
      <c r="L38" s="58">
        <f>I38*K38</f>
        <v>2626.25</v>
      </c>
      <c r="M38" s="57" t="s">
        <v>26</v>
      </c>
      <c r="N38" s="23">
        <v>0</v>
      </c>
      <c r="O38" s="23">
        <v>19</v>
      </c>
      <c r="P38" s="23">
        <f t="shared" ref="P38:P43" si="7">MAX(0,K38-O38)</f>
        <v>106</v>
      </c>
      <c r="Q38" s="23">
        <v>2</v>
      </c>
      <c r="R38" s="23"/>
      <c r="T38" s="79"/>
    </row>
    <row r="39" spans="1:20" s="2" customFormat="true">
      <c r="A39" s="16"/>
      <c r="B39" s="16"/>
      <c r="C39" s="22"/>
      <c r="D39" s="22"/>
      <c r="E39" s="23"/>
      <c r="F39" s="23"/>
      <c r="G39" s="20"/>
      <c r="H39" s="21"/>
      <c r="I39" s="59"/>
      <c r="J39" s="57" t="s">
        <v>27</v>
      </c>
      <c r="K39" s="23">
        <v>135</v>
      </c>
      <c r="L39" s="58">
        <f>I38*K39</f>
        <v>2836.35</v>
      </c>
      <c r="M39" s="57" t="s">
        <v>27</v>
      </c>
      <c r="N39" s="23">
        <v>0</v>
      </c>
      <c r="O39" s="23">
        <v>22</v>
      </c>
      <c r="P39" s="23">
        <f t="shared" si="7"/>
        <v>113</v>
      </c>
      <c r="Q39" s="23">
        <v>2</v>
      </c>
      <c r="R39" s="23"/>
      <c r="T39" s="79"/>
    </row>
    <row r="40" spans="1:20" s="2" customFormat="true">
      <c r="A40" s="16"/>
      <c r="B40" s="16"/>
      <c r="C40" s="22"/>
      <c r="D40" s="22"/>
      <c r="E40" s="23"/>
      <c r="F40" s="23"/>
      <c r="G40" s="20"/>
      <c r="H40" s="21"/>
      <c r="I40" s="59"/>
      <c r="J40" s="57" t="s">
        <v>28</v>
      </c>
      <c r="K40" s="23">
        <v>137</v>
      </c>
      <c r="L40" s="58">
        <f>I38*K40</f>
        <v>2878.37</v>
      </c>
      <c r="M40" s="57" t="s">
        <v>28</v>
      </c>
      <c r="N40" s="23">
        <v>0</v>
      </c>
      <c r="O40" s="23">
        <v>19</v>
      </c>
      <c r="P40" s="23">
        <f t="shared" si="7"/>
        <v>118</v>
      </c>
      <c r="Q40" s="23">
        <v>8</v>
      </c>
      <c r="R40" s="23"/>
      <c r="T40" s="79"/>
    </row>
    <row r="41" spans="1:20" s="2" customFormat="true">
      <c r="A41" s="16"/>
      <c r="B41" s="16"/>
      <c r="C41" s="22"/>
      <c r="D41" s="22"/>
      <c r="E41" s="23"/>
      <c r="F41" s="23"/>
      <c r="G41" s="20"/>
      <c r="H41" s="21"/>
      <c r="I41" s="59"/>
      <c r="J41" s="57" t="s">
        <v>29</v>
      </c>
      <c r="K41" s="23">
        <v>119</v>
      </c>
      <c r="L41" s="58">
        <f>I38*K41</f>
        <v>2500.19</v>
      </c>
      <c r="M41" s="57" t="s">
        <v>29</v>
      </c>
      <c r="N41" s="23">
        <v>0</v>
      </c>
      <c r="O41" s="23">
        <v>15</v>
      </c>
      <c r="P41" s="23">
        <f t="shared" si="7"/>
        <v>104</v>
      </c>
      <c r="Q41" s="23">
        <v>3</v>
      </c>
      <c r="R41" s="23"/>
      <c r="T41" s="79"/>
    </row>
    <row r="42" spans="1:20" s="2" customFormat="true">
      <c r="A42" s="16"/>
      <c r="B42" s="16"/>
      <c r="C42" s="22"/>
      <c r="D42" s="22"/>
      <c r="E42" s="23"/>
      <c r="F42" s="23"/>
      <c r="G42" s="20"/>
      <c r="H42" s="21"/>
      <c r="I42" s="59"/>
      <c r="J42" s="57" t="s">
        <v>30</v>
      </c>
      <c r="K42" s="23">
        <v>107</v>
      </c>
      <c r="L42" s="58">
        <f>I38*K42</f>
        <v>2248.07</v>
      </c>
      <c r="M42" s="57" t="s">
        <v>30</v>
      </c>
      <c r="N42" s="23">
        <v>0</v>
      </c>
      <c r="O42" s="23">
        <v>6</v>
      </c>
      <c r="P42" s="23">
        <f t="shared" si="7"/>
        <v>101</v>
      </c>
      <c r="Q42" s="23">
        <v>2</v>
      </c>
      <c r="R42" s="23"/>
      <c r="T42" s="79"/>
    </row>
    <row r="43" spans="1:20" s="2" customFormat="true">
      <c r="A43" s="16"/>
      <c r="B43" s="16"/>
      <c r="C43" s="22"/>
      <c r="D43" s="22"/>
      <c r="E43" s="23"/>
      <c r="F43" s="23"/>
      <c r="G43" s="20"/>
      <c r="H43" s="21"/>
      <c r="I43" s="60"/>
      <c r="J43" s="23" t="s">
        <v>31</v>
      </c>
      <c r="K43" s="23">
        <v>105</v>
      </c>
      <c r="L43" s="58">
        <f>I38*K43</f>
        <v>2206.05</v>
      </c>
      <c r="M43" s="23" t="s">
        <v>31</v>
      </c>
      <c r="N43" s="23">
        <v>0</v>
      </c>
      <c r="O43" s="23">
        <v>3</v>
      </c>
      <c r="P43" s="23">
        <f t="shared" si="7"/>
        <v>102</v>
      </c>
      <c r="Q43" s="23">
        <v>0</v>
      </c>
      <c r="R43" s="23"/>
      <c r="T43" s="79"/>
    </row>
    <row r="44" spans="1:20" s="2" customFormat="true">
      <c r="A44" s="24"/>
      <c r="B44" s="24"/>
      <c r="C44" s="25"/>
      <c r="D44" s="25"/>
      <c r="E44" s="23"/>
      <c r="F44" s="23"/>
      <c r="G44" s="26"/>
      <c r="H44" s="27"/>
      <c r="I44" s="62"/>
      <c r="J44" s="61" t="s">
        <v>32</v>
      </c>
      <c r="K44" s="62">
        <f t="shared" ref="K44:N44" si="8">SUM(K38:K43)</f>
        <v>728</v>
      </c>
      <c r="L44" s="63">
        <f t="shared" si="8"/>
        <v>15295.28</v>
      </c>
      <c r="M44" s="61" t="s">
        <v>32</v>
      </c>
      <c r="N44" s="62">
        <f t="shared" si="8"/>
        <v>0</v>
      </c>
      <c r="O44" s="62" cm="1">
        <f t="array" ref="O44">SUMPRODUCT(--(O38:O43))</f>
        <v>84</v>
      </c>
      <c r="P44" s="64" cm="1">
        <f t="array" ref="P44">SUMPRODUCT(--(P38:P43))</f>
        <v>644</v>
      </c>
      <c r="Q44" s="64">
        <f>SUM(Q38:Q43)</f>
        <v>17</v>
      </c>
      <c r="R44" s="64">
        <f>SUM(R38:R43)</f>
        <v>0</v>
      </c>
      <c r="T44" s="79"/>
    </row>
    <row r="45" spans="1:20" s="2" customFormat="true" ht="17.4" customHeight="true">
      <c r="A45" s="28"/>
      <c r="B45" s="29"/>
      <c r="C45" s="29"/>
      <c r="D45" s="29"/>
      <c r="E45" s="29"/>
      <c r="F45" s="29"/>
      <c r="G45" s="29"/>
      <c r="H45" s="29"/>
      <c r="I45" s="29"/>
      <c r="J45" s="29"/>
      <c r="K45" s="29"/>
      <c r="L45" s="29"/>
      <c r="M45" s="29"/>
      <c r="N45" s="29"/>
      <c r="O45" s="29"/>
      <c r="P45" s="29"/>
      <c r="T45" s="79"/>
    </row>
    <row r="46" spans="1:20" s="1" customFormat="true" ht="10.95" customHeight="true">
      <c r="A46" s="7" t="s">
        <v>3</v>
      </c>
      <c r="B46" s="30" t="s">
        <v>4</v>
      </c>
      <c r="C46" s="30" t="s">
        <v>55</v>
      </c>
      <c r="D46" s="30" t="s">
        <v>6</v>
      </c>
      <c r="E46" s="30" t="s">
        <v>7</v>
      </c>
      <c r="F46" s="30" t="s">
        <v>8</v>
      </c>
      <c r="G46" s="30" t="s">
        <v>9</v>
      </c>
      <c r="H46" s="30"/>
      <c r="I46" s="7" t="s">
        <v>10</v>
      </c>
      <c r="J46" s="7" t="s">
        <v>11</v>
      </c>
      <c r="K46" s="8" t="s">
        <v>12</v>
      </c>
      <c r="L46" s="9"/>
      <c r="M46" s="7" t="s">
        <v>11</v>
      </c>
      <c r="N46" s="52" t="s">
        <v>13</v>
      </c>
      <c r="O46" s="52"/>
      <c r="P46" s="9"/>
      <c r="Q46" s="9" t="s">
        <v>14</v>
      </c>
      <c r="R46" s="9" t="s">
        <v>15</v>
      </c>
      <c r="T46" s="78"/>
    </row>
    <row r="47" spans="1:20" s="1" customFormat="true" ht="16.05" customHeight="true">
      <c r="A47" s="10"/>
      <c r="B47" s="30"/>
      <c r="C47" s="30"/>
      <c r="D47" s="30"/>
      <c r="E47" s="30"/>
      <c r="F47" s="30"/>
      <c r="G47" s="30"/>
      <c r="H47" s="30"/>
      <c r="I47" s="10"/>
      <c r="J47" s="10"/>
      <c r="K47" s="14"/>
      <c r="L47" s="15"/>
      <c r="M47" s="10"/>
      <c r="N47" s="53"/>
      <c r="O47" s="53"/>
      <c r="P47" s="15"/>
      <c r="Q47" s="15"/>
      <c r="R47" s="15"/>
      <c r="T47" s="78"/>
    </row>
    <row r="48" spans="1:20" s="1" customFormat="true" ht="28.95" customHeight="true">
      <c r="A48" s="13"/>
      <c r="B48" s="30"/>
      <c r="C48" s="30"/>
      <c r="D48" s="30"/>
      <c r="E48" s="30"/>
      <c r="F48" s="30"/>
      <c r="G48" s="30"/>
      <c r="H48" s="30"/>
      <c r="I48" s="13"/>
      <c r="J48" s="13"/>
      <c r="K48" s="54" t="s">
        <v>16</v>
      </c>
      <c r="L48" s="55" t="s">
        <v>17</v>
      </c>
      <c r="M48" s="13"/>
      <c r="N48" s="55" t="s">
        <v>18</v>
      </c>
      <c r="O48" s="55" t="s">
        <v>19</v>
      </c>
      <c r="P48" s="55" t="s">
        <v>20</v>
      </c>
      <c r="Q48" s="55" t="s">
        <v>21</v>
      </c>
      <c r="R48" s="55" t="s">
        <v>22</v>
      </c>
      <c r="T48" s="78"/>
    </row>
    <row r="49" spans="1:20" s="2" customFormat="true" ht="13.95" customHeight="true">
      <c r="A49" s="16">
        <v>5</v>
      </c>
      <c r="B49" s="17" t="str">
        <f>=DISPIMG("ID_4B948695933B4955BE84D88CB88E6D27",1)</f>
        <v>=DISPIMG("ID_4B948695933B4955BE84D88CB88E6D27",1)</v>
      </c>
      <c r="C49" s="18" t="s">
        <v>62</v>
      </c>
      <c r="D49" s="18" t="s">
        <v>57</v>
      </c>
      <c r="E49" s="19"/>
      <c r="F49" s="19"/>
      <c r="G49" s="20" t="s">
        <v>38</v>
      </c>
      <c r="H49" s="21" t="str">
        <f>=DISPIMG("ID_6224539E859941EF9D7D99BDDB4A24D6",1)</f>
        <v>=DISPIMG("ID_6224539E859941EF9D7D99BDDB4A24D6",1)</v>
      </c>
      <c r="I49" s="56">
        <v>21.01</v>
      </c>
      <c r="J49" s="57" t="s">
        <v>26</v>
      </c>
      <c r="K49" s="23">
        <v>0</v>
      </c>
      <c r="L49" s="58">
        <f>I49*K49</f>
        <v>0</v>
      </c>
      <c r="M49" s="57" t="s">
        <v>26</v>
      </c>
      <c r="N49" s="23">
        <v>0</v>
      </c>
      <c r="O49" s="23">
        <f t="shared" ref="O49:O54" si="9">K49-P49</f>
        <v>0</v>
      </c>
      <c r="P49" s="23">
        <v>0</v>
      </c>
      <c r="Q49" s="23"/>
      <c r="R49" s="23"/>
      <c r="T49" s="79"/>
    </row>
    <row r="50" spans="1:20" s="2" customFormat="true">
      <c r="A50" s="16"/>
      <c r="B50" s="16"/>
      <c r="C50" s="22"/>
      <c r="D50" s="22"/>
      <c r="E50" s="23"/>
      <c r="F50" s="23"/>
      <c r="G50" s="20"/>
      <c r="H50" s="21"/>
      <c r="I50" s="59"/>
      <c r="J50" s="57" t="s">
        <v>27</v>
      </c>
      <c r="K50" s="23">
        <v>106</v>
      </c>
      <c r="L50" s="58">
        <f>I49*K50</f>
        <v>2227.06</v>
      </c>
      <c r="M50" s="57" t="s">
        <v>27</v>
      </c>
      <c r="N50" s="23">
        <v>0</v>
      </c>
      <c r="O50" s="23">
        <v>2</v>
      </c>
      <c r="P50" s="23">
        <f t="shared" ref="P50:P52" si="10">MAX(0,K50-O50)</f>
        <v>104</v>
      </c>
      <c r="Q50" s="23">
        <v>1</v>
      </c>
      <c r="R50" s="23"/>
      <c r="T50" s="79"/>
    </row>
    <row r="51" spans="1:20" s="2" customFormat="true">
      <c r="A51" s="16"/>
      <c r="B51" s="16"/>
      <c r="C51" s="22"/>
      <c r="D51" s="22"/>
      <c r="E51" s="23"/>
      <c r="F51" s="23"/>
      <c r="G51" s="20"/>
      <c r="H51" s="21"/>
      <c r="I51" s="59"/>
      <c r="J51" s="57" t="s">
        <v>28</v>
      </c>
      <c r="K51" s="23">
        <v>107</v>
      </c>
      <c r="L51" s="58">
        <f>I49*K51</f>
        <v>2248.07</v>
      </c>
      <c r="M51" s="57" t="s">
        <v>28</v>
      </c>
      <c r="N51" s="23">
        <v>0</v>
      </c>
      <c r="O51" s="23">
        <v>2</v>
      </c>
      <c r="P51" s="23">
        <f t="shared" si="10"/>
        <v>105</v>
      </c>
      <c r="Q51" s="23">
        <v>1</v>
      </c>
      <c r="R51" s="23"/>
      <c r="T51" s="79"/>
    </row>
    <row r="52" spans="1:20" s="2" customFormat="true">
      <c r="A52" s="16"/>
      <c r="B52" s="16"/>
      <c r="C52" s="22"/>
      <c r="D52" s="22"/>
      <c r="E52" s="23"/>
      <c r="F52" s="23"/>
      <c r="G52" s="20"/>
      <c r="H52" s="21"/>
      <c r="I52" s="59"/>
      <c r="J52" s="57" t="s">
        <v>29</v>
      </c>
      <c r="K52" s="23">
        <v>104</v>
      </c>
      <c r="L52" s="58">
        <f>I49*K52</f>
        <v>2185.04</v>
      </c>
      <c r="M52" s="57" t="s">
        <v>29</v>
      </c>
      <c r="N52" s="23">
        <v>0</v>
      </c>
      <c r="O52" s="23">
        <v>2</v>
      </c>
      <c r="P52" s="23">
        <f t="shared" si="10"/>
        <v>102</v>
      </c>
      <c r="Q52" s="23">
        <v>0</v>
      </c>
      <c r="R52" s="23"/>
      <c r="T52" s="79"/>
    </row>
    <row r="53" spans="1:20" s="2" customFormat="true">
      <c r="A53" s="16"/>
      <c r="B53" s="16"/>
      <c r="C53" s="22"/>
      <c r="D53" s="22"/>
      <c r="E53" s="23"/>
      <c r="F53" s="23"/>
      <c r="G53" s="20"/>
      <c r="H53" s="21"/>
      <c r="I53" s="59"/>
      <c r="J53" s="57" t="s">
        <v>30</v>
      </c>
      <c r="K53" s="23">
        <v>0</v>
      </c>
      <c r="L53" s="58">
        <f>I49*K53</f>
        <v>0</v>
      </c>
      <c r="M53" s="57" t="s">
        <v>30</v>
      </c>
      <c r="N53" s="23">
        <v>0</v>
      </c>
      <c r="O53" s="23">
        <f t="shared" si="9"/>
        <v>0</v>
      </c>
      <c r="P53" s="23">
        <v>0</v>
      </c>
      <c r="Q53" s="23"/>
      <c r="R53" s="23"/>
      <c r="T53" s="79"/>
    </row>
    <row r="54" spans="1:20" s="2" customFormat="true">
      <c r="A54" s="16"/>
      <c r="B54" s="16"/>
      <c r="C54" s="22"/>
      <c r="D54" s="22"/>
      <c r="E54" s="23"/>
      <c r="F54" s="23"/>
      <c r="G54" s="20"/>
      <c r="H54" s="21"/>
      <c r="I54" s="60"/>
      <c r="J54" s="23" t="s">
        <v>31</v>
      </c>
      <c r="K54" s="23">
        <v>0</v>
      </c>
      <c r="L54" s="58">
        <f>I49*K54</f>
        <v>0</v>
      </c>
      <c r="M54" s="23" t="s">
        <v>31</v>
      </c>
      <c r="N54" s="23">
        <v>0</v>
      </c>
      <c r="O54" s="23">
        <f t="shared" si="9"/>
        <v>0</v>
      </c>
      <c r="P54" s="23">
        <v>0</v>
      </c>
      <c r="Q54" s="23"/>
      <c r="R54" s="23"/>
      <c r="T54" s="79"/>
    </row>
    <row r="55" spans="1:20" s="2" customFormat="true">
      <c r="A55" s="24"/>
      <c r="B55" s="24"/>
      <c r="C55" s="25"/>
      <c r="D55" s="25"/>
      <c r="E55" s="23"/>
      <c r="F55" s="23"/>
      <c r="G55" s="26"/>
      <c r="H55" s="27"/>
      <c r="I55" s="62"/>
      <c r="J55" s="61" t="s">
        <v>32</v>
      </c>
      <c r="K55" s="62">
        <f t="shared" ref="K55:N55" si="11">SUM(K49:K54)</f>
        <v>317</v>
      </c>
      <c r="L55" s="63">
        <f t="shared" si="11"/>
        <v>6660.17</v>
      </c>
      <c r="M55" s="61" t="s">
        <v>32</v>
      </c>
      <c r="N55" s="62">
        <f t="shared" si="11"/>
        <v>0</v>
      </c>
      <c r="O55" s="62" cm="1">
        <f t="array" ref="O55">SUMPRODUCT(--(O49:O54))</f>
        <v>6</v>
      </c>
      <c r="P55" s="64" cm="1">
        <f t="array" ref="P55">SUMPRODUCT(--(P49:P54))</f>
        <v>311</v>
      </c>
      <c r="Q55" s="64">
        <f>SUM(Q49:Q54)</f>
        <v>2</v>
      </c>
      <c r="R55" s="64">
        <f>SUM(R49:R54)</f>
        <v>0</v>
      </c>
      <c r="T55" s="79"/>
    </row>
    <row r="56" spans="1:20" s="2" customFormat="true" ht="17.4" customHeight="true">
      <c r="A56" s="28"/>
      <c r="B56" s="29"/>
      <c r="C56" s="29"/>
      <c r="D56" s="29"/>
      <c r="E56" s="29"/>
      <c r="F56" s="29"/>
      <c r="G56" s="29"/>
      <c r="H56" s="29"/>
      <c r="I56" s="29"/>
      <c r="J56" s="29"/>
      <c r="K56" s="29"/>
      <c r="L56" s="29"/>
      <c r="M56" s="29"/>
      <c r="N56" s="29"/>
      <c r="O56" s="29"/>
      <c r="P56" s="29"/>
      <c r="Q56" s="29"/>
      <c r="R56" s="29"/>
      <c r="T56" s="79"/>
    </row>
    <row r="57" spans="1:20" s="1" customFormat="true" ht="10.95" customHeight="true">
      <c r="A57" s="7" t="s">
        <v>3</v>
      </c>
      <c r="B57" s="30" t="s">
        <v>4</v>
      </c>
      <c r="C57" s="30" t="s">
        <v>55</v>
      </c>
      <c r="D57" s="30" t="s">
        <v>6</v>
      </c>
      <c r="E57" s="30" t="s">
        <v>7</v>
      </c>
      <c r="F57" s="30" t="s">
        <v>8</v>
      </c>
      <c r="G57" s="30" t="s">
        <v>9</v>
      </c>
      <c r="H57" s="30"/>
      <c r="I57" s="7" t="s">
        <v>10</v>
      </c>
      <c r="J57" s="7" t="s">
        <v>11</v>
      </c>
      <c r="K57" s="8" t="s">
        <v>12</v>
      </c>
      <c r="L57" s="9"/>
      <c r="M57" s="7" t="s">
        <v>11</v>
      </c>
      <c r="N57" s="52" t="s">
        <v>13</v>
      </c>
      <c r="O57" s="52"/>
      <c r="P57" s="9"/>
      <c r="Q57" s="9" t="s">
        <v>14</v>
      </c>
      <c r="R57" s="9" t="s">
        <v>15</v>
      </c>
      <c r="T57" s="78"/>
    </row>
    <row r="58" spans="1:20" s="1" customFormat="true" ht="16.05" customHeight="true">
      <c r="A58" s="10"/>
      <c r="B58" s="30"/>
      <c r="C58" s="30"/>
      <c r="D58" s="30"/>
      <c r="E58" s="30"/>
      <c r="F58" s="30"/>
      <c r="G58" s="30"/>
      <c r="H58" s="30"/>
      <c r="I58" s="10"/>
      <c r="J58" s="10"/>
      <c r="K58" s="14"/>
      <c r="L58" s="15"/>
      <c r="M58" s="10"/>
      <c r="N58" s="53"/>
      <c r="O58" s="53"/>
      <c r="P58" s="15"/>
      <c r="Q58" s="15"/>
      <c r="R58" s="15"/>
      <c r="T58" s="78"/>
    </row>
    <row r="59" spans="1:20" s="1" customFormat="true" ht="17.4">
      <c r="A59" s="13"/>
      <c r="B59" s="30"/>
      <c r="C59" s="30"/>
      <c r="D59" s="30"/>
      <c r="E59" s="30"/>
      <c r="F59" s="30"/>
      <c r="G59" s="30"/>
      <c r="H59" s="30"/>
      <c r="I59" s="13"/>
      <c r="J59" s="13"/>
      <c r="K59" s="54" t="s">
        <v>16</v>
      </c>
      <c r="L59" s="55" t="s">
        <v>17</v>
      </c>
      <c r="M59" s="13"/>
      <c r="N59" s="55" t="s">
        <v>18</v>
      </c>
      <c r="O59" s="55" t="s">
        <v>19</v>
      </c>
      <c r="P59" s="55" t="s">
        <v>20</v>
      </c>
      <c r="Q59" s="55" t="s">
        <v>21</v>
      </c>
      <c r="R59" s="55" t="s">
        <v>22</v>
      </c>
      <c r="T59" s="78"/>
    </row>
    <row r="60" spans="1:20" s="2" customFormat="true" ht="13.95" customHeight="true">
      <c r="A60" s="16">
        <v>6</v>
      </c>
      <c r="B60" s="17" t="str">
        <f>=DISPIMG("ID_91D1EE301DCF4248A77BFE52D7C67CA0",1)</f>
        <v>=DISPIMG("ID_91D1EE301DCF4248A77BFE52D7C67CA0",1)</v>
      </c>
      <c r="C60" s="18" t="s">
        <v>63</v>
      </c>
      <c r="D60" s="18" t="s">
        <v>57</v>
      </c>
      <c r="E60" s="19"/>
      <c r="F60" s="19"/>
      <c r="G60" s="20" t="s">
        <v>42</v>
      </c>
      <c r="H60" s="21" t="str">
        <f>=DISPIMG("ID_2F5E4B5258F247828B8AC37077302F8B",1)</f>
        <v>=DISPIMG("ID_2F5E4B5258F247828B8AC37077302F8B",1)</v>
      </c>
      <c r="I60" s="56">
        <v>21.01</v>
      </c>
      <c r="J60" s="57" t="s">
        <v>26</v>
      </c>
      <c r="K60" s="23">
        <v>123</v>
      </c>
      <c r="L60" s="58">
        <f>I60*K60</f>
        <v>2584.23</v>
      </c>
      <c r="M60" s="57" t="s">
        <v>26</v>
      </c>
      <c r="N60" s="23">
        <v>0</v>
      </c>
      <c r="O60" s="23">
        <v>16</v>
      </c>
      <c r="P60" s="23">
        <f t="shared" ref="P60:P65" si="12">MAX(0,K60-O60)</f>
        <v>107</v>
      </c>
      <c r="Q60" s="23">
        <v>3</v>
      </c>
      <c r="R60" s="23"/>
      <c r="T60" s="79"/>
    </row>
    <row r="61" spans="1:20" s="2" customFormat="true">
      <c r="A61" s="16"/>
      <c r="B61" s="16"/>
      <c r="C61" s="22"/>
      <c r="D61" s="22"/>
      <c r="E61" s="23"/>
      <c r="F61" s="23"/>
      <c r="G61" s="20"/>
      <c r="H61" s="21"/>
      <c r="I61" s="59"/>
      <c r="J61" s="57" t="s">
        <v>27</v>
      </c>
      <c r="K61" s="23">
        <v>267</v>
      </c>
      <c r="L61" s="58">
        <f>I60*K61</f>
        <v>5609.67</v>
      </c>
      <c r="M61" s="57" t="s">
        <v>27</v>
      </c>
      <c r="N61" s="23">
        <v>0</v>
      </c>
      <c r="O61" s="23">
        <v>184</v>
      </c>
      <c r="P61" s="23">
        <f t="shared" si="12"/>
        <v>83</v>
      </c>
      <c r="Q61" s="23">
        <v>22</v>
      </c>
      <c r="R61" s="23"/>
      <c r="T61" s="79"/>
    </row>
    <row r="62" spans="1:20" s="2" customFormat="true">
      <c r="A62" s="16"/>
      <c r="B62" s="16"/>
      <c r="C62" s="22"/>
      <c r="D62" s="22"/>
      <c r="E62" s="23"/>
      <c r="F62" s="23"/>
      <c r="G62" s="20"/>
      <c r="H62" s="21"/>
      <c r="I62" s="59"/>
      <c r="J62" s="57" t="s">
        <v>28</v>
      </c>
      <c r="K62" s="23">
        <v>278</v>
      </c>
      <c r="L62" s="58">
        <f>I60*K62</f>
        <v>5840.78</v>
      </c>
      <c r="M62" s="57" t="s">
        <v>28</v>
      </c>
      <c r="N62" s="23">
        <v>0</v>
      </c>
      <c r="O62" s="23">
        <v>114</v>
      </c>
      <c r="P62" s="23">
        <f t="shared" si="12"/>
        <v>164</v>
      </c>
      <c r="Q62" s="23">
        <v>18</v>
      </c>
      <c r="R62" s="23"/>
      <c r="T62" s="79"/>
    </row>
    <row r="63" spans="1:20" s="2" customFormat="true">
      <c r="A63" s="16"/>
      <c r="B63" s="16"/>
      <c r="C63" s="22"/>
      <c r="D63" s="22"/>
      <c r="E63" s="23"/>
      <c r="F63" s="23"/>
      <c r="G63" s="20"/>
      <c r="H63" s="21"/>
      <c r="I63" s="59"/>
      <c r="J63" s="57" t="s">
        <v>29</v>
      </c>
      <c r="K63" s="23">
        <v>214</v>
      </c>
      <c r="L63" s="58">
        <f>I60*K63</f>
        <v>4496.14</v>
      </c>
      <c r="M63" s="57" t="s">
        <v>29</v>
      </c>
      <c r="N63" s="23">
        <v>0</v>
      </c>
      <c r="O63" s="23">
        <v>62</v>
      </c>
      <c r="P63" s="23">
        <f t="shared" si="12"/>
        <v>152</v>
      </c>
      <c r="Q63" s="23">
        <v>15</v>
      </c>
      <c r="R63" s="23"/>
      <c r="T63" s="79"/>
    </row>
    <row r="64" spans="1:20" s="2" customFormat="true">
      <c r="A64" s="16"/>
      <c r="B64" s="16"/>
      <c r="C64" s="22"/>
      <c r="D64" s="22"/>
      <c r="E64" s="23"/>
      <c r="F64" s="23"/>
      <c r="G64" s="20"/>
      <c r="H64" s="21"/>
      <c r="I64" s="59"/>
      <c r="J64" s="57" t="s">
        <v>30</v>
      </c>
      <c r="K64" s="23">
        <v>216</v>
      </c>
      <c r="L64" s="58">
        <f>I60*K64</f>
        <v>4538.16</v>
      </c>
      <c r="M64" s="57" t="s">
        <v>30</v>
      </c>
      <c r="N64" s="23">
        <v>0</v>
      </c>
      <c r="O64" s="23">
        <v>29</v>
      </c>
      <c r="P64" s="23">
        <f t="shared" si="12"/>
        <v>187</v>
      </c>
      <c r="Q64" s="23">
        <v>3</v>
      </c>
      <c r="R64" s="23"/>
      <c r="T64" s="79"/>
    </row>
    <row r="65" spans="1:20" s="2" customFormat="true">
      <c r="A65" s="16"/>
      <c r="B65" s="16"/>
      <c r="C65" s="22"/>
      <c r="D65" s="22"/>
      <c r="E65" s="23"/>
      <c r="F65" s="23"/>
      <c r="G65" s="20"/>
      <c r="H65" s="21"/>
      <c r="I65" s="60"/>
      <c r="J65" s="23" t="s">
        <v>31</v>
      </c>
      <c r="K65" s="23">
        <v>109</v>
      </c>
      <c r="L65" s="58">
        <f>I60*K65</f>
        <v>2290.09</v>
      </c>
      <c r="M65" s="23" t="s">
        <v>31</v>
      </c>
      <c r="N65" s="23">
        <v>0</v>
      </c>
      <c r="O65" s="23">
        <v>8</v>
      </c>
      <c r="P65" s="23">
        <f t="shared" si="12"/>
        <v>101</v>
      </c>
      <c r="Q65" s="23">
        <v>0</v>
      </c>
      <c r="R65" s="23"/>
      <c r="T65" s="79"/>
    </row>
    <row r="66" spans="1:20" s="2" customFormat="true">
      <c r="A66" s="24"/>
      <c r="B66" s="24"/>
      <c r="C66" s="25"/>
      <c r="D66" s="25"/>
      <c r="E66" s="23"/>
      <c r="F66" s="23"/>
      <c r="G66" s="26"/>
      <c r="H66" s="27"/>
      <c r="I66" s="62"/>
      <c r="J66" s="61" t="s">
        <v>32</v>
      </c>
      <c r="K66" s="62">
        <f t="shared" ref="K66:N66" si="13">SUM(K60:K65)</f>
        <v>1207</v>
      </c>
      <c r="L66" s="63">
        <f t="shared" si="13"/>
        <v>25359.07</v>
      </c>
      <c r="M66" s="61" t="s">
        <v>32</v>
      </c>
      <c r="N66" s="62">
        <f t="shared" si="13"/>
        <v>0</v>
      </c>
      <c r="O66" s="62" cm="1">
        <f t="array" ref="O66">SUMPRODUCT(--(O60:O65))</f>
        <v>413</v>
      </c>
      <c r="P66" s="64" cm="1">
        <f t="array" ref="P66">SUMPRODUCT(--(P60:P65))</f>
        <v>794</v>
      </c>
      <c r="Q66" s="64">
        <f>SUM(Q60:Q65)</f>
        <v>61</v>
      </c>
      <c r="R66" s="64">
        <f>SUM(R60:R65)</f>
        <v>0</v>
      </c>
      <c r="T66" s="79"/>
    </row>
    <row r="67" spans="1:16" s="3" customFormat="true">
      <c r="A67" s="4"/>
      <c r="B67" s="4"/>
      <c r="C67" s="31"/>
      <c r="D67" s="31"/>
      <c r="E67" s="31"/>
      <c r="F67" s="31"/>
      <c r="G67" s="31"/>
      <c r="H67" s="31"/>
      <c r="I67" s="65"/>
      <c r="J67" s="31"/>
      <c r="K67" s="65"/>
      <c r="L67" s="65"/>
      <c r="M67" s="31"/>
      <c r="N67" s="65"/>
      <c r="O67" s="65"/>
      <c r="P67" s="65"/>
    </row>
    <row r="68" spans="1:20" s="1" customFormat="true" ht="10.95" customHeight="true">
      <c r="A68" s="7" t="s">
        <v>3</v>
      </c>
      <c r="B68" s="30" t="s">
        <v>4</v>
      </c>
      <c r="C68" s="30" t="s">
        <v>55</v>
      </c>
      <c r="D68" s="30" t="s">
        <v>6</v>
      </c>
      <c r="E68" s="30" t="s">
        <v>7</v>
      </c>
      <c r="F68" s="30" t="s">
        <v>8</v>
      </c>
      <c r="G68" s="30" t="s">
        <v>9</v>
      </c>
      <c r="H68" s="30"/>
      <c r="I68" s="7" t="s">
        <v>10</v>
      </c>
      <c r="J68" s="7" t="s">
        <v>11</v>
      </c>
      <c r="K68" s="8" t="s">
        <v>12</v>
      </c>
      <c r="L68" s="9"/>
      <c r="M68" s="7" t="s">
        <v>11</v>
      </c>
      <c r="N68" s="52" t="s">
        <v>13</v>
      </c>
      <c r="O68" s="52"/>
      <c r="P68" s="9"/>
      <c r="Q68" s="9" t="s">
        <v>14</v>
      </c>
      <c r="R68" s="9" t="s">
        <v>15</v>
      </c>
      <c r="T68" s="78"/>
    </row>
    <row r="69" spans="1:20" s="1" customFormat="true" ht="16.05" customHeight="true">
      <c r="A69" s="10"/>
      <c r="B69" s="30"/>
      <c r="C69" s="30"/>
      <c r="D69" s="30"/>
      <c r="E69" s="30"/>
      <c r="F69" s="30"/>
      <c r="G69" s="30"/>
      <c r="H69" s="30"/>
      <c r="I69" s="10"/>
      <c r="J69" s="10"/>
      <c r="K69" s="14"/>
      <c r="L69" s="15"/>
      <c r="M69" s="10"/>
      <c r="N69" s="53"/>
      <c r="O69" s="53"/>
      <c r="P69" s="15"/>
      <c r="Q69" s="15"/>
      <c r="R69" s="15"/>
      <c r="T69" s="78"/>
    </row>
    <row r="70" spans="1:20" s="1" customFormat="true" ht="17.4">
      <c r="A70" s="13"/>
      <c r="B70" s="30"/>
      <c r="C70" s="30"/>
      <c r="D70" s="30"/>
      <c r="E70" s="30"/>
      <c r="F70" s="30"/>
      <c r="G70" s="30"/>
      <c r="H70" s="30"/>
      <c r="I70" s="13"/>
      <c r="J70" s="13"/>
      <c r="K70" s="54" t="s">
        <v>16</v>
      </c>
      <c r="L70" s="55" t="s">
        <v>17</v>
      </c>
      <c r="M70" s="13"/>
      <c r="N70" s="55" t="s">
        <v>18</v>
      </c>
      <c r="O70" s="55" t="s">
        <v>19</v>
      </c>
      <c r="P70" s="55" t="s">
        <v>20</v>
      </c>
      <c r="Q70" s="55" t="s">
        <v>21</v>
      </c>
      <c r="R70" s="55" t="s">
        <v>22</v>
      </c>
      <c r="T70" s="78"/>
    </row>
    <row r="71" spans="1:20" s="2" customFormat="true" ht="13.95" customHeight="true">
      <c r="A71" s="16">
        <v>7</v>
      </c>
      <c r="B71" s="17" t="str">
        <f>=DISPIMG("ID_920FD618BE824D949B1A5399780C7E0E",1)</f>
        <v>=DISPIMG("ID_920FD618BE824D949B1A5399780C7E0E",1)</v>
      </c>
      <c r="C71" s="18" t="s">
        <v>64</v>
      </c>
      <c r="D71" s="18" t="s">
        <v>57</v>
      </c>
      <c r="E71" s="19"/>
      <c r="F71" s="19"/>
      <c r="G71" s="20" t="s">
        <v>44</v>
      </c>
      <c r="H71" s="21" t="str">
        <f>=DISPIMG("ID_D70652B635C24F2AB96AEF609D21445C",1)</f>
        <v>=DISPIMG("ID_D70652B635C24F2AB96AEF609D21445C",1)</v>
      </c>
      <c r="I71" s="56">
        <v>21.01</v>
      </c>
      <c r="J71" s="57" t="s">
        <v>26</v>
      </c>
      <c r="K71" s="23">
        <v>129</v>
      </c>
      <c r="L71" s="58">
        <f>I71*K71</f>
        <v>2710.29</v>
      </c>
      <c r="M71" s="57" t="s">
        <v>26</v>
      </c>
      <c r="N71" s="23">
        <v>0</v>
      </c>
      <c r="O71" s="23">
        <v>12</v>
      </c>
      <c r="P71" s="23">
        <f t="shared" ref="P71:P76" si="14">MAX(0,K71-O71)</f>
        <v>117</v>
      </c>
      <c r="Q71" s="23">
        <v>5</v>
      </c>
      <c r="R71" s="23"/>
      <c r="T71" s="79"/>
    </row>
    <row r="72" spans="1:20" s="2" customFormat="true">
      <c r="A72" s="16"/>
      <c r="B72" s="16"/>
      <c r="C72" s="22"/>
      <c r="D72" s="22"/>
      <c r="E72" s="23"/>
      <c r="F72" s="23"/>
      <c r="G72" s="20"/>
      <c r="H72" s="21"/>
      <c r="I72" s="59"/>
      <c r="J72" s="57" t="s">
        <v>27</v>
      </c>
      <c r="K72" s="23">
        <v>269</v>
      </c>
      <c r="L72" s="58">
        <f>I71*K72</f>
        <v>5651.69</v>
      </c>
      <c r="M72" s="57" t="s">
        <v>27</v>
      </c>
      <c r="N72" s="23">
        <v>0</v>
      </c>
      <c r="O72" s="23">
        <v>41</v>
      </c>
      <c r="P72" s="23">
        <f t="shared" si="14"/>
        <v>228</v>
      </c>
      <c r="Q72" s="23">
        <v>11</v>
      </c>
      <c r="R72" s="23"/>
      <c r="T72" s="79"/>
    </row>
    <row r="73" spans="1:20" s="2" customFormat="true">
      <c r="A73" s="16"/>
      <c r="B73" s="16"/>
      <c r="C73" s="22"/>
      <c r="D73" s="22"/>
      <c r="E73" s="23"/>
      <c r="F73" s="23"/>
      <c r="G73" s="20"/>
      <c r="H73" s="21"/>
      <c r="I73" s="59"/>
      <c r="J73" s="57" t="s">
        <v>28</v>
      </c>
      <c r="K73" s="23">
        <v>288</v>
      </c>
      <c r="L73" s="58">
        <f>I71*K73</f>
        <v>6050.88</v>
      </c>
      <c r="M73" s="57" t="s">
        <v>28</v>
      </c>
      <c r="N73" s="23">
        <v>0</v>
      </c>
      <c r="O73" s="23">
        <v>42</v>
      </c>
      <c r="P73" s="23">
        <f t="shared" si="14"/>
        <v>246</v>
      </c>
      <c r="Q73" s="23">
        <v>16</v>
      </c>
      <c r="R73" s="23"/>
      <c r="T73" s="79"/>
    </row>
    <row r="74" spans="1:20" s="2" customFormat="true">
      <c r="A74" s="16"/>
      <c r="B74" s="16"/>
      <c r="C74" s="22"/>
      <c r="D74" s="22"/>
      <c r="E74" s="23"/>
      <c r="F74" s="23"/>
      <c r="G74" s="20"/>
      <c r="H74" s="21"/>
      <c r="I74" s="59"/>
      <c r="J74" s="57" t="s">
        <v>29</v>
      </c>
      <c r="K74" s="23">
        <v>232</v>
      </c>
      <c r="L74" s="58">
        <f>I71*K74</f>
        <v>4874.32</v>
      </c>
      <c r="M74" s="57" t="s">
        <v>29</v>
      </c>
      <c r="N74" s="23">
        <v>0</v>
      </c>
      <c r="O74" s="23">
        <v>24</v>
      </c>
      <c r="P74" s="23">
        <f t="shared" si="14"/>
        <v>208</v>
      </c>
      <c r="Q74" s="23">
        <v>8</v>
      </c>
      <c r="R74" s="23"/>
      <c r="T74" s="79"/>
    </row>
    <row r="75" spans="1:20" s="2" customFormat="true">
      <c r="A75" s="16"/>
      <c r="B75" s="16"/>
      <c r="C75" s="22"/>
      <c r="D75" s="22"/>
      <c r="E75" s="23"/>
      <c r="F75" s="23"/>
      <c r="G75" s="20"/>
      <c r="H75" s="21"/>
      <c r="I75" s="59"/>
      <c r="J75" s="57" t="s">
        <v>30</v>
      </c>
      <c r="K75" s="23">
        <v>214</v>
      </c>
      <c r="L75" s="58">
        <f>I71*K75</f>
        <v>4496.14</v>
      </c>
      <c r="M75" s="57" t="s">
        <v>30</v>
      </c>
      <c r="N75" s="23">
        <v>0</v>
      </c>
      <c r="O75" s="23">
        <v>13</v>
      </c>
      <c r="P75" s="23">
        <f t="shared" si="14"/>
        <v>201</v>
      </c>
      <c r="Q75" s="23">
        <v>5</v>
      </c>
      <c r="R75" s="23"/>
      <c r="T75" s="79"/>
    </row>
    <row r="76" spans="1:20" s="2" customFormat="true">
      <c r="A76" s="16"/>
      <c r="B76" s="16"/>
      <c r="C76" s="22"/>
      <c r="D76" s="22"/>
      <c r="E76" s="23"/>
      <c r="F76" s="23"/>
      <c r="G76" s="20"/>
      <c r="H76" s="21"/>
      <c r="I76" s="60"/>
      <c r="J76" s="23" t="s">
        <v>31</v>
      </c>
      <c r="K76" s="23">
        <v>105</v>
      </c>
      <c r="L76" s="58">
        <f>I71*K76</f>
        <v>2206.05</v>
      </c>
      <c r="M76" s="23" t="s">
        <v>31</v>
      </c>
      <c r="N76" s="23">
        <v>0</v>
      </c>
      <c r="O76" s="23">
        <v>11</v>
      </c>
      <c r="P76" s="23">
        <f t="shared" si="14"/>
        <v>94</v>
      </c>
      <c r="Q76" s="23">
        <v>2</v>
      </c>
      <c r="R76" s="23"/>
      <c r="T76" s="79"/>
    </row>
    <row r="77" spans="1:20" s="2" customFormat="true">
      <c r="A77" s="24"/>
      <c r="B77" s="24"/>
      <c r="C77" s="25"/>
      <c r="D77" s="25"/>
      <c r="E77" s="23"/>
      <c r="F77" s="23"/>
      <c r="G77" s="26"/>
      <c r="H77" s="27"/>
      <c r="I77" s="62"/>
      <c r="J77" s="61" t="s">
        <v>32</v>
      </c>
      <c r="K77" s="62">
        <f t="shared" ref="K77:N77" si="15">SUM(K71:K76)</f>
        <v>1237</v>
      </c>
      <c r="L77" s="63">
        <f t="shared" si="15"/>
        <v>25989.37</v>
      </c>
      <c r="M77" s="61" t="s">
        <v>32</v>
      </c>
      <c r="N77" s="62">
        <f t="shared" si="15"/>
        <v>0</v>
      </c>
      <c r="O77" s="62" cm="1">
        <f t="array" ref="O77">SUMPRODUCT(--(O71:O76))</f>
        <v>143</v>
      </c>
      <c r="P77" s="64" cm="1">
        <f t="array" ref="P77">SUMPRODUCT(--(P71:P76))</f>
        <v>1094</v>
      </c>
      <c r="Q77" s="64">
        <f>SUM(Q71:Q76)</f>
        <v>47</v>
      </c>
      <c r="R77" s="64">
        <f>SUM(R71:R76)</f>
        <v>0</v>
      </c>
      <c r="T77" s="79"/>
    </row>
    <row r="78" spans="1:16" s="3" customFormat="true">
      <c r="A78" s="4"/>
      <c r="B78" s="4"/>
      <c r="C78" s="31"/>
      <c r="D78" s="31"/>
      <c r="E78" s="31"/>
      <c r="F78" s="31"/>
      <c r="G78" s="31"/>
      <c r="H78" s="31"/>
      <c r="I78" s="65"/>
      <c r="J78" s="31"/>
      <c r="K78" s="65"/>
      <c r="L78" s="65"/>
      <c r="M78" s="31"/>
      <c r="N78" s="65"/>
      <c r="O78" s="65"/>
      <c r="P78" s="65"/>
    </row>
    <row r="79"/>
    <row r="80" spans="1:14" ht="46" customHeight="true">
      <c r="A80" s="32" t="s">
        <v>45</v>
      </c>
      <c r="B80" s="33"/>
      <c r="C80" s="35" t="s">
        <v>55</v>
      </c>
      <c r="D80" s="35" t="s">
        <v>6</v>
      </c>
      <c r="E80" s="35" t="s">
        <v>7</v>
      </c>
      <c r="F80" s="35" t="s">
        <v>8</v>
      </c>
      <c r="G80" s="32" t="s">
        <v>9</v>
      </c>
      <c r="H80" s="33"/>
      <c r="I80" s="34" t="s">
        <v>46</v>
      </c>
      <c r="J80" s="34" t="s">
        <v>47</v>
      </c>
      <c r="K80" s="66" t="s">
        <v>48</v>
      </c>
      <c r="L80" s="67"/>
      <c r="M80" s="32" t="s">
        <v>49</v>
      </c>
      <c r="N80" s="33"/>
    </row>
    <row r="81" spans="1:14" ht="25.05" customHeight="true">
      <c r="A81" s="36" t="s">
        <v>50</v>
      </c>
      <c r="B81" s="37"/>
      <c r="C81" s="18" t="s">
        <v>65</v>
      </c>
      <c r="D81" s="18" t="s">
        <v>57</v>
      </c>
      <c r="E81" s="38"/>
      <c r="F81" s="38"/>
      <c r="G81" s="39" t="s">
        <v>66</v>
      </c>
      <c r="H81" s="40"/>
      <c r="I81" s="68" t="str">
        <f>SUM(K11,K22,K33,K44,K55,K66,K77)&amp;"件"</f>
        <v>5829件</v>
      </c>
      <c r="J81" s="68" t="str">
        <f>SUM(O11,O22,O33,O44,O55,O66,O77)&amp;"件"</f>
        <v>907件</v>
      </c>
      <c r="K81" s="69" t="str">
        <f>SUM(P11,P22,P33,P44,P55,P66,P77)&amp;"件"</f>
        <v>4922件</v>
      </c>
      <c r="L81" s="70"/>
      <c r="M81" s="71"/>
      <c r="N81" s="70"/>
    </row>
    <row r="82" spans="1:14" ht="25.05" customHeight="true">
      <c r="A82" s="41"/>
      <c r="B82" s="42"/>
      <c r="C82" s="22"/>
      <c r="D82" s="22"/>
      <c r="E82" s="43"/>
      <c r="F82" s="43"/>
      <c r="G82" s="44"/>
      <c r="H82" s="45"/>
      <c r="I82" s="16"/>
      <c r="J82" s="16"/>
      <c r="K82" s="72"/>
      <c r="L82" s="73"/>
      <c r="M82" s="74"/>
      <c r="N82" s="73"/>
    </row>
    <row r="83" spans="1:14">
      <c r="A83" s="41"/>
      <c r="B83" s="42"/>
      <c r="C83" s="22"/>
      <c r="D83" s="22"/>
      <c r="E83" s="43"/>
      <c r="F83" s="43"/>
      <c r="G83" s="44"/>
      <c r="H83" s="45"/>
      <c r="I83" s="16"/>
      <c r="J83" s="16"/>
      <c r="K83" s="72"/>
      <c r="L83" s="73"/>
      <c r="M83" s="74"/>
      <c r="N83" s="73"/>
    </row>
    <row r="84" spans="1:14">
      <c r="A84" s="41"/>
      <c r="B84" s="42"/>
      <c r="C84" s="22"/>
      <c r="D84" s="22"/>
      <c r="E84" s="43"/>
      <c r="F84" s="43"/>
      <c r="G84" s="44"/>
      <c r="H84" s="45"/>
      <c r="I84" s="16"/>
      <c r="J84" s="16"/>
      <c r="K84" s="72"/>
      <c r="L84" s="73"/>
      <c r="M84" s="74"/>
      <c r="N84" s="73"/>
    </row>
    <row r="85" spans="1:14">
      <c r="A85" s="41"/>
      <c r="B85" s="42"/>
      <c r="C85" s="22"/>
      <c r="D85" s="22"/>
      <c r="E85" s="43"/>
      <c r="F85" s="43"/>
      <c r="G85" s="44"/>
      <c r="H85" s="45"/>
      <c r="I85" s="16"/>
      <c r="J85" s="16"/>
      <c r="K85" s="72"/>
      <c r="L85" s="73"/>
      <c r="M85" s="74"/>
      <c r="N85" s="73"/>
    </row>
    <row r="86" spans="1:14" customHeight="true">
      <c r="A86" s="41"/>
      <c r="B86" s="42"/>
      <c r="C86" s="22"/>
      <c r="D86" s="22"/>
      <c r="E86" s="43"/>
      <c r="F86" s="43"/>
      <c r="G86" s="44"/>
      <c r="H86" s="45"/>
      <c r="I86" s="16"/>
      <c r="J86" s="16"/>
      <c r="K86" s="72"/>
      <c r="L86" s="73"/>
      <c r="M86" s="74"/>
      <c r="N86" s="73"/>
    </row>
    <row r="87" spans="1:14">
      <c r="A87" s="46"/>
      <c r="B87" s="47"/>
      <c r="C87" s="25"/>
      <c r="D87" s="25"/>
      <c r="E87" s="48"/>
      <c r="F87" s="48"/>
      <c r="G87" s="49"/>
      <c r="H87" s="50"/>
      <c r="I87" s="24"/>
      <c r="J87" s="24"/>
      <c r="K87" s="75"/>
      <c r="L87" s="76"/>
      <c r="M87" s="77"/>
      <c r="N87" s="76"/>
    </row>
  </sheetData>
  <mergeCells count="183">
    <mergeCell ref="A1:L1"/>
    <mergeCell ref="M1:O1"/>
    <mergeCell ref="P1:R1"/>
    <mergeCell ref="A12:P12"/>
    <mergeCell ref="A23:P23"/>
    <mergeCell ref="A34:P34"/>
    <mergeCell ref="A45:P45"/>
    <mergeCell ref="A56:P56"/>
    <mergeCell ref="A80:B80"/>
    <mergeCell ref="G80:H80"/>
    <mergeCell ref="K80:L80"/>
    <mergeCell ref="M80:N80"/>
    <mergeCell ref="A2:A4"/>
    <mergeCell ref="A5:A11"/>
    <mergeCell ref="A13:A15"/>
    <mergeCell ref="A16:A22"/>
    <mergeCell ref="A24:A26"/>
    <mergeCell ref="A27:A33"/>
    <mergeCell ref="A35:A37"/>
    <mergeCell ref="A38:A44"/>
    <mergeCell ref="A46:A48"/>
    <mergeCell ref="A49:A55"/>
    <mergeCell ref="A57:A59"/>
    <mergeCell ref="A60:A66"/>
    <mergeCell ref="A68:A70"/>
    <mergeCell ref="A71:A77"/>
    <mergeCell ref="B2:B4"/>
    <mergeCell ref="B5:B11"/>
    <mergeCell ref="B13:B15"/>
    <mergeCell ref="B16:B22"/>
    <mergeCell ref="B24:B26"/>
    <mergeCell ref="B27:B33"/>
    <mergeCell ref="B35:B37"/>
    <mergeCell ref="B38:B44"/>
    <mergeCell ref="B46:B48"/>
    <mergeCell ref="B49:B55"/>
    <mergeCell ref="B57:B59"/>
    <mergeCell ref="B60:B66"/>
    <mergeCell ref="B68:B70"/>
    <mergeCell ref="B71:B77"/>
    <mergeCell ref="C2:C4"/>
    <mergeCell ref="C5:C11"/>
    <mergeCell ref="C13:C15"/>
    <mergeCell ref="C16:C22"/>
    <mergeCell ref="C24:C26"/>
    <mergeCell ref="C27:C33"/>
    <mergeCell ref="C35:C37"/>
    <mergeCell ref="C38:C44"/>
    <mergeCell ref="C46:C48"/>
    <mergeCell ref="C49:C55"/>
    <mergeCell ref="C57:C59"/>
    <mergeCell ref="C60:C66"/>
    <mergeCell ref="C68:C70"/>
    <mergeCell ref="C71:C77"/>
    <mergeCell ref="C81:C87"/>
    <mergeCell ref="D2:D4"/>
    <mergeCell ref="D5:D11"/>
    <mergeCell ref="D13:D15"/>
    <mergeCell ref="D16:D22"/>
    <mergeCell ref="D24:D26"/>
    <mergeCell ref="D27:D33"/>
    <mergeCell ref="D35:D37"/>
    <mergeCell ref="D38:D44"/>
    <mergeCell ref="D46:D48"/>
    <mergeCell ref="D49:D55"/>
    <mergeCell ref="D57:D59"/>
    <mergeCell ref="D60:D66"/>
    <mergeCell ref="D68:D70"/>
    <mergeCell ref="D71:D77"/>
    <mergeCell ref="D81:D87"/>
    <mergeCell ref="E2:E4"/>
    <mergeCell ref="E5:E11"/>
    <mergeCell ref="E13:E15"/>
    <mergeCell ref="E16:E22"/>
    <mergeCell ref="E24:E26"/>
    <mergeCell ref="E27:E33"/>
    <mergeCell ref="E35:E37"/>
    <mergeCell ref="E38:E44"/>
    <mergeCell ref="E46:E48"/>
    <mergeCell ref="E49:E55"/>
    <mergeCell ref="E57:E59"/>
    <mergeCell ref="E60:E66"/>
    <mergeCell ref="E68:E70"/>
    <mergeCell ref="E71:E77"/>
    <mergeCell ref="E81:E87"/>
    <mergeCell ref="F2:F4"/>
    <mergeCell ref="F5:F11"/>
    <mergeCell ref="F13:F15"/>
    <mergeCell ref="F16:F22"/>
    <mergeCell ref="F24:F26"/>
    <mergeCell ref="F27:F33"/>
    <mergeCell ref="F35:F37"/>
    <mergeCell ref="F38:F44"/>
    <mergeCell ref="F46:F48"/>
    <mergeCell ref="F49:F55"/>
    <mergeCell ref="F57:F59"/>
    <mergeCell ref="F60:F66"/>
    <mergeCell ref="F68:F70"/>
    <mergeCell ref="F71:F77"/>
    <mergeCell ref="F81:F87"/>
    <mergeCell ref="G5:G11"/>
    <mergeCell ref="G16:G22"/>
    <mergeCell ref="G27:G33"/>
    <mergeCell ref="G38:G44"/>
    <mergeCell ref="G49:G55"/>
    <mergeCell ref="G60:G66"/>
    <mergeCell ref="G71:G77"/>
    <mergeCell ref="H5:H11"/>
    <mergeCell ref="H16:H22"/>
    <mergeCell ref="H27:H33"/>
    <mergeCell ref="H38:H44"/>
    <mergeCell ref="H49:H55"/>
    <mergeCell ref="H60:H66"/>
    <mergeCell ref="H71:H77"/>
    <mergeCell ref="I2:I4"/>
    <mergeCell ref="I5:I10"/>
    <mergeCell ref="I13:I15"/>
    <mergeCell ref="I16:I21"/>
    <mergeCell ref="I24:I26"/>
    <mergeCell ref="I27:I32"/>
    <mergeCell ref="I35:I37"/>
    <mergeCell ref="I38:I43"/>
    <mergeCell ref="I46:I48"/>
    <mergeCell ref="I49:I54"/>
    <mergeCell ref="I57:I59"/>
    <mergeCell ref="I60:I65"/>
    <mergeCell ref="I68:I70"/>
    <mergeCell ref="I71:I76"/>
    <mergeCell ref="I81:I87"/>
    <mergeCell ref="J2:J4"/>
    <mergeCell ref="J13:J15"/>
    <mergeCell ref="J24:J26"/>
    <mergeCell ref="J35:J37"/>
    <mergeCell ref="J46:J48"/>
    <mergeCell ref="J57:J59"/>
    <mergeCell ref="J68:J70"/>
    <mergeCell ref="J81:J87"/>
    <mergeCell ref="M2:M4"/>
    <mergeCell ref="M13:M15"/>
    <mergeCell ref="M24:M26"/>
    <mergeCell ref="M35:M37"/>
    <mergeCell ref="M46:M48"/>
    <mergeCell ref="M57:M59"/>
    <mergeCell ref="M68:M70"/>
    <mergeCell ref="Q2:Q3"/>
    <mergeCell ref="Q13:Q14"/>
    <mergeCell ref="Q24:Q25"/>
    <mergeCell ref="Q35:Q36"/>
    <mergeCell ref="Q46:Q47"/>
    <mergeCell ref="Q57:Q58"/>
    <mergeCell ref="Q68:Q69"/>
    <mergeCell ref="R2:R3"/>
    <mergeCell ref="R13:R14"/>
    <mergeCell ref="R24:R25"/>
    <mergeCell ref="R35:R36"/>
    <mergeCell ref="R46:R47"/>
    <mergeCell ref="R57:R58"/>
    <mergeCell ref="R68:R69"/>
    <mergeCell ref="G2:H4"/>
    <mergeCell ref="K2:L3"/>
    <mergeCell ref="N2:P3"/>
    <mergeCell ref="G13:H15"/>
    <mergeCell ref="K13:L14"/>
    <mergeCell ref="N13:P14"/>
    <mergeCell ref="G24:H26"/>
    <mergeCell ref="K24:L25"/>
    <mergeCell ref="N24:P25"/>
    <mergeCell ref="G35:H37"/>
    <mergeCell ref="K35:L36"/>
    <mergeCell ref="N35:P36"/>
    <mergeCell ref="G46:H48"/>
    <mergeCell ref="K46:L47"/>
    <mergeCell ref="N46:P47"/>
    <mergeCell ref="G57:H59"/>
    <mergeCell ref="K57:L58"/>
    <mergeCell ref="N57:P58"/>
    <mergeCell ref="G68:H70"/>
    <mergeCell ref="K68:L69"/>
    <mergeCell ref="N68:P69"/>
    <mergeCell ref="A81:B87"/>
    <mergeCell ref="G81:H87"/>
    <mergeCell ref="K81:L87"/>
    <mergeCell ref="M81:N87"/>
  </mergeCells>
  <pageMargins left="0.75" right="0.75" top="1" bottom="1" header="0.5" footer="0.5"/>
  <pageSetup orientation="portrait" paperSize="9"/>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U98"/>
  <sheetViews>
    <sheetView topLeftCell="A59" zoomScale="90" zoomScaleNormal="90" workbookViewId="0">
      <selection activeCell="P82" sqref="P82:P87"/>
    </sheetView>
  </sheetViews>
  <sheetFormatPr defaultColWidth="8.55555555555556" defaultRowHeight="14.4"/>
  <cols>
    <col customWidth="true" max="1" min="1" style="3" width="7"/>
    <col customWidth="true" max="2" min="2" style="3" width="8.77777777777778"/>
    <col customWidth="true" max="3" min="3" style="3" width="18.6388888888889"/>
    <col customWidth="true" max="4" min="4" style="3" width="9.88888888888889"/>
    <col customWidth="true" hidden="true" max="5" min="5" style="3" width="12.7777777777778"/>
    <col customWidth="true" hidden="true" max="6" min="6" style="3" width="12.6666666666667"/>
    <col customWidth="true" max="7" min="7" style="3" width="13.5740740740741"/>
    <col customWidth="true" max="8" min="8" style="3" width="11.5555555555556"/>
    <col customWidth="true" max="9" min="9" style="3" width="13.9444444444444"/>
    <col customWidth="true" max="10" min="10" style="4" width="13.2037037037037"/>
    <col customWidth="true" max="11" min="11" style="3" width="12.5833333333333"/>
    <col customWidth="true" max="12" min="12" style="3" width="15.3055555555556"/>
    <col customWidth="true" max="13" min="13" style="4" width="12.5925925925926"/>
    <col customWidth="true" max="14" min="14" style="3" width="10.8611111111111"/>
    <col customWidth="true" max="15" min="15" style="3" width="11.3518518518519"/>
    <col customWidth="true" max="18" min="16" style="3" width="13.0833333333333"/>
    <col max="16384" min="19" style="3" width="8.55555555555556"/>
  </cols>
  <sheetData>
    <row r="1" spans="1:20" s="1" customFormat="true" ht="58.8" customHeight="true">
      <c r="A1" s="5" t="s">
        <v>67</v>
      </c>
      <c r="B1" s="6"/>
      <c r="C1" s="6"/>
      <c r="D1" s="6"/>
      <c r="E1" s="6"/>
      <c r="F1" s="6"/>
      <c r="G1" s="6"/>
      <c r="H1" s="6"/>
      <c r="I1" s="6"/>
      <c r="J1" s="6"/>
      <c r="K1" s="6"/>
      <c r="L1" s="6"/>
      <c r="M1" s="6" t="s">
        <v>68</v>
      </c>
      <c r="N1" s="6"/>
      <c r="O1" s="6"/>
      <c r="P1" s="51" t="s">
        <v>2</v>
      </c>
      <c r="Q1" s="6"/>
      <c r="R1" s="6"/>
      <c r="T1" s="78"/>
    </row>
    <row r="2" spans="1:20" s="1" customFormat="true" ht="10.95" customHeight="true">
      <c r="A2" s="7" t="s">
        <v>3</v>
      </c>
      <c r="B2" s="7" t="s">
        <v>4</v>
      </c>
      <c r="C2" s="7" t="s">
        <v>55</v>
      </c>
      <c r="D2" s="7" t="s">
        <v>6</v>
      </c>
      <c r="E2" s="7" t="s">
        <v>7</v>
      </c>
      <c r="F2" s="7" t="s">
        <v>8</v>
      </c>
      <c r="G2" s="8" t="s">
        <v>9</v>
      </c>
      <c r="H2" s="9"/>
      <c r="I2" s="7" t="s">
        <v>10</v>
      </c>
      <c r="J2" s="7" t="s">
        <v>11</v>
      </c>
      <c r="K2" s="52" t="s">
        <v>12</v>
      </c>
      <c r="L2" s="9"/>
      <c r="M2" s="7" t="s">
        <v>11</v>
      </c>
      <c r="N2" s="52" t="s">
        <v>13</v>
      </c>
      <c r="O2" s="52"/>
      <c r="P2" s="9"/>
      <c r="Q2" s="9" t="s">
        <v>14</v>
      </c>
      <c r="R2" s="9" t="s">
        <v>15</v>
      </c>
      <c r="T2" s="78"/>
    </row>
    <row r="3" spans="1:20" s="1" customFormat="true" ht="16.05" customHeight="true">
      <c r="A3" s="10"/>
      <c r="B3" s="10"/>
      <c r="C3" s="10"/>
      <c r="D3" s="10"/>
      <c r="E3" s="10"/>
      <c r="F3" s="10"/>
      <c r="G3" s="11"/>
      <c r="H3" s="12"/>
      <c r="I3" s="10"/>
      <c r="J3" s="10"/>
      <c r="K3" s="53"/>
      <c r="L3" s="15"/>
      <c r="M3" s="10"/>
      <c r="N3" s="53"/>
      <c r="O3" s="53"/>
      <c r="P3" s="15"/>
      <c r="Q3" s="15"/>
      <c r="R3" s="15"/>
      <c r="T3" s="78"/>
    </row>
    <row r="4" spans="1:20" s="1" customFormat="true" ht="28.95" customHeight="true">
      <c r="A4" s="13"/>
      <c r="B4" s="13"/>
      <c r="C4" s="13"/>
      <c r="D4" s="13"/>
      <c r="E4" s="13"/>
      <c r="F4" s="13"/>
      <c r="G4" s="14"/>
      <c r="H4" s="15"/>
      <c r="I4" s="13"/>
      <c r="J4" s="13"/>
      <c r="K4" s="54" t="s">
        <v>16</v>
      </c>
      <c r="L4" s="55" t="s">
        <v>17</v>
      </c>
      <c r="M4" s="13"/>
      <c r="N4" s="55" t="s">
        <v>18</v>
      </c>
      <c r="O4" s="55" t="s">
        <v>19</v>
      </c>
      <c r="P4" s="55" t="s">
        <v>20</v>
      </c>
      <c r="Q4" s="55" t="s">
        <v>21</v>
      </c>
      <c r="R4" s="55" t="s">
        <v>22</v>
      </c>
      <c r="T4" s="78"/>
    </row>
    <row r="5" spans="1:20" s="2" customFormat="true" customHeight="true">
      <c r="A5" s="16">
        <v>1</v>
      </c>
      <c r="B5" s="17" t="str">
        <f>=DISPIMG("ID_62C95EA4E02F487C8E2D3055F89B00FD",1)</f>
        <v>=DISPIMG("ID_62C95EA4E02F487C8E2D3055F89B00FD",1)</v>
      </c>
      <c r="C5" s="18" t="s">
        <v>69</v>
      </c>
      <c r="D5" s="18" t="s">
        <v>70</v>
      </c>
      <c r="E5" s="19"/>
      <c r="F5" s="19"/>
      <c r="G5" s="20" t="s">
        <v>25</v>
      </c>
      <c r="H5" s="21" t="str">
        <f>=DISPIMG("ID_BF03DB259DC34C5485B43FFEF0C40EC8",1)</f>
        <v>=DISPIMG("ID_BF03DB259DC34C5485B43FFEF0C40EC8",1)</v>
      </c>
      <c r="I5" s="56">
        <v>18</v>
      </c>
      <c r="J5" s="57" t="s">
        <v>26</v>
      </c>
      <c r="K5" s="23">
        <v>122</v>
      </c>
      <c r="L5" s="58">
        <f>I5*K5</f>
        <v>2196</v>
      </c>
      <c r="M5" s="57" t="s">
        <v>26</v>
      </c>
      <c r="N5" s="23">
        <v>0</v>
      </c>
      <c r="O5" s="23">
        <v>19</v>
      </c>
      <c r="P5" s="23">
        <f t="shared" ref="P5:P10" si="0">MAX(0,K5-O5)</f>
        <v>103</v>
      </c>
      <c r="Q5" s="23">
        <v>5</v>
      </c>
      <c r="R5" s="23"/>
      <c r="T5" s="79"/>
    </row>
    <row r="6" spans="1:20" s="2" customFormat="true">
      <c r="A6" s="16"/>
      <c r="B6" s="16"/>
      <c r="C6" s="22"/>
      <c r="D6" s="22"/>
      <c r="E6" s="23"/>
      <c r="F6" s="23"/>
      <c r="G6" s="20"/>
      <c r="H6" s="21"/>
      <c r="I6" s="59"/>
      <c r="J6" s="57" t="s">
        <v>27</v>
      </c>
      <c r="K6" s="23">
        <v>130</v>
      </c>
      <c r="L6" s="58">
        <f>I5*K6</f>
        <v>2340</v>
      </c>
      <c r="M6" s="57" t="s">
        <v>27</v>
      </c>
      <c r="N6" s="23">
        <v>0</v>
      </c>
      <c r="O6" s="23">
        <v>20</v>
      </c>
      <c r="P6" s="23">
        <f t="shared" si="0"/>
        <v>110</v>
      </c>
      <c r="Q6" s="23">
        <v>2</v>
      </c>
      <c r="R6" s="23"/>
      <c r="T6" s="79"/>
    </row>
    <row r="7" spans="1:20" s="2" customFormat="true">
      <c r="A7" s="16"/>
      <c r="B7" s="16"/>
      <c r="C7" s="22"/>
      <c r="D7" s="22"/>
      <c r="E7" s="23"/>
      <c r="F7" s="23"/>
      <c r="G7" s="20"/>
      <c r="H7" s="21"/>
      <c r="I7" s="59"/>
      <c r="J7" s="57" t="s">
        <v>28</v>
      </c>
      <c r="K7" s="23">
        <v>148</v>
      </c>
      <c r="L7" s="58">
        <f>I5*K7</f>
        <v>2664</v>
      </c>
      <c r="M7" s="57" t="s">
        <v>28</v>
      </c>
      <c r="N7" s="23">
        <v>0</v>
      </c>
      <c r="O7" s="23">
        <v>38</v>
      </c>
      <c r="P7" s="23">
        <f t="shared" si="0"/>
        <v>110</v>
      </c>
      <c r="Q7" s="23">
        <v>16</v>
      </c>
      <c r="R7" s="23"/>
      <c r="T7" s="79"/>
    </row>
    <row r="8" spans="1:20" s="2" customFormat="true">
      <c r="A8" s="16"/>
      <c r="B8" s="16"/>
      <c r="C8" s="22"/>
      <c r="D8" s="22"/>
      <c r="E8" s="23"/>
      <c r="F8" s="23"/>
      <c r="G8" s="20"/>
      <c r="H8" s="21"/>
      <c r="I8" s="59"/>
      <c r="J8" s="57" t="s">
        <v>29</v>
      </c>
      <c r="K8" s="23">
        <v>117</v>
      </c>
      <c r="L8" s="58">
        <f>I5*K8</f>
        <v>2106</v>
      </c>
      <c r="M8" s="57" t="s">
        <v>29</v>
      </c>
      <c r="N8" s="23">
        <v>0</v>
      </c>
      <c r="O8" s="23">
        <v>17</v>
      </c>
      <c r="P8" s="23">
        <f t="shared" si="0"/>
        <v>100</v>
      </c>
      <c r="Q8" s="23">
        <v>2</v>
      </c>
      <c r="R8" s="23"/>
      <c r="T8" s="79"/>
    </row>
    <row r="9" spans="1:20" s="2" customFormat="true">
      <c r="A9" s="16"/>
      <c r="B9" s="16"/>
      <c r="C9" s="22"/>
      <c r="D9" s="22"/>
      <c r="E9" s="23"/>
      <c r="F9" s="23"/>
      <c r="G9" s="20"/>
      <c r="H9" s="21"/>
      <c r="I9" s="59"/>
      <c r="J9" s="57" t="s">
        <v>30</v>
      </c>
      <c r="K9" s="23">
        <v>110</v>
      </c>
      <c r="L9" s="58">
        <f>I5*K9</f>
        <v>1980</v>
      </c>
      <c r="M9" s="57" t="s">
        <v>30</v>
      </c>
      <c r="N9" s="23">
        <v>0</v>
      </c>
      <c r="O9" s="23">
        <v>11</v>
      </c>
      <c r="P9" s="23">
        <f t="shared" si="0"/>
        <v>99</v>
      </c>
      <c r="Q9" s="23">
        <v>1</v>
      </c>
      <c r="R9" s="23"/>
      <c r="T9" s="79"/>
    </row>
    <row r="10" spans="1:20" s="2" customFormat="true">
      <c r="A10" s="16"/>
      <c r="B10" s="16"/>
      <c r="C10" s="22"/>
      <c r="D10" s="22"/>
      <c r="E10" s="23"/>
      <c r="F10" s="23"/>
      <c r="G10" s="20"/>
      <c r="H10" s="21"/>
      <c r="I10" s="60"/>
      <c r="J10" s="23" t="s">
        <v>31</v>
      </c>
      <c r="K10" s="23">
        <v>108</v>
      </c>
      <c r="L10" s="58">
        <f>I5*K10</f>
        <v>1944</v>
      </c>
      <c r="M10" s="23" t="s">
        <v>31</v>
      </c>
      <c r="N10" s="23">
        <v>0</v>
      </c>
      <c r="O10" s="23">
        <v>7</v>
      </c>
      <c r="P10" s="23">
        <f t="shared" si="0"/>
        <v>101</v>
      </c>
      <c r="Q10" s="23">
        <v>0</v>
      </c>
      <c r="R10" s="23"/>
      <c r="T10" s="79"/>
    </row>
    <row r="11" spans="1:20" s="2" customFormat="true">
      <c r="A11" s="24"/>
      <c r="B11" s="24"/>
      <c r="C11" s="25"/>
      <c r="D11" s="25"/>
      <c r="E11" s="23"/>
      <c r="F11" s="23"/>
      <c r="G11" s="26"/>
      <c r="H11" s="27"/>
      <c r="J11" s="61" t="s">
        <v>32</v>
      </c>
      <c r="K11" s="62">
        <f t="shared" ref="K11:N11" si="1">SUM(K5:K10)</f>
        <v>735</v>
      </c>
      <c r="L11" s="63">
        <f t="shared" si="1"/>
        <v>13230</v>
      </c>
      <c r="M11" s="61" t="s">
        <v>32</v>
      </c>
      <c r="N11" s="62">
        <f t="shared" si="1"/>
        <v>0</v>
      </c>
      <c r="O11" s="62" cm="1">
        <f t="array" ref="O11">SUMPRODUCT(--(O5:O10))</f>
        <v>112</v>
      </c>
      <c r="P11" s="64" cm="1">
        <f t="array" ref="P11">SUMPRODUCT(--(P5:P10))</f>
        <v>623</v>
      </c>
      <c r="Q11" s="64">
        <f>SUM(Q5:Q10)</f>
        <v>26</v>
      </c>
      <c r="R11" s="64">
        <f>SUM(R5:R10)</f>
        <v>0</v>
      </c>
      <c r="T11" s="79"/>
    </row>
    <row r="12" spans="1:20" s="2" customFormat="true" ht="17.4" customHeight="true">
      <c r="A12" s="28"/>
      <c r="B12" s="29"/>
      <c r="C12" s="29"/>
      <c r="D12" s="29"/>
      <c r="E12" s="29"/>
      <c r="F12" s="29"/>
      <c r="G12" s="29"/>
      <c r="H12" s="29"/>
      <c r="I12" s="29"/>
      <c r="J12" s="29"/>
      <c r="K12" s="29"/>
      <c r="L12" s="29"/>
      <c r="M12" s="29"/>
      <c r="N12" s="29"/>
      <c r="O12" s="29"/>
      <c r="P12" s="29"/>
      <c r="Q12" s="29"/>
      <c r="R12" s="29"/>
      <c r="T12" s="79"/>
    </row>
    <row r="13" spans="1:21" s="1" customFormat="true" ht="10.95" customHeight="true">
      <c r="A13" s="7" t="s">
        <v>3</v>
      </c>
      <c r="B13" s="30" t="s">
        <v>4</v>
      </c>
      <c r="C13" s="30" t="s">
        <v>55</v>
      </c>
      <c r="D13" s="30" t="s">
        <v>6</v>
      </c>
      <c r="E13" s="30" t="s">
        <v>7</v>
      </c>
      <c r="F13" s="30" t="s">
        <v>8</v>
      </c>
      <c r="G13" s="30" t="s">
        <v>9</v>
      </c>
      <c r="H13" s="30"/>
      <c r="I13" s="7" t="s">
        <v>10</v>
      </c>
      <c r="J13" s="7" t="s">
        <v>11</v>
      </c>
      <c r="K13" s="8" t="s">
        <v>12</v>
      </c>
      <c r="L13" s="9"/>
      <c r="M13" s="7" t="s">
        <v>11</v>
      </c>
      <c r="N13" s="52" t="s">
        <v>13</v>
      </c>
      <c r="O13" s="52"/>
      <c r="P13" s="9"/>
      <c r="Q13" s="9" t="s">
        <v>14</v>
      </c>
      <c r="R13" s="9" t="s">
        <v>15</v>
      </c>
      <c r="T13" s="78"/>
      <c r="U13" s="2"/>
    </row>
    <row r="14" spans="1:20" s="1" customFormat="true" ht="16.05" customHeight="true">
      <c r="A14" s="10"/>
      <c r="B14" s="30"/>
      <c r="C14" s="30"/>
      <c r="D14" s="30"/>
      <c r="E14" s="30"/>
      <c r="F14" s="30"/>
      <c r="G14" s="30"/>
      <c r="H14" s="30"/>
      <c r="I14" s="10"/>
      <c r="J14" s="10"/>
      <c r="K14" s="14"/>
      <c r="L14" s="15"/>
      <c r="M14" s="10"/>
      <c r="N14" s="53"/>
      <c r="O14" s="53"/>
      <c r="P14" s="15"/>
      <c r="Q14" s="15"/>
      <c r="R14" s="15"/>
      <c r="T14" s="78"/>
    </row>
    <row r="15" spans="1:20" s="1" customFormat="true" ht="28.95" customHeight="true">
      <c r="A15" s="13"/>
      <c r="B15" s="30"/>
      <c r="C15" s="30"/>
      <c r="D15" s="30"/>
      <c r="E15" s="30"/>
      <c r="F15" s="30"/>
      <c r="G15" s="30"/>
      <c r="H15" s="30"/>
      <c r="I15" s="13"/>
      <c r="J15" s="13"/>
      <c r="K15" s="54" t="s">
        <v>16</v>
      </c>
      <c r="L15" s="55" t="s">
        <v>17</v>
      </c>
      <c r="M15" s="13"/>
      <c r="N15" s="55" t="s">
        <v>18</v>
      </c>
      <c r="O15" s="55" t="s">
        <v>19</v>
      </c>
      <c r="P15" s="55" t="s">
        <v>20</v>
      </c>
      <c r="Q15" s="55" t="s">
        <v>21</v>
      </c>
      <c r="R15" s="55" t="s">
        <v>22</v>
      </c>
      <c r="T15" s="78"/>
    </row>
    <row r="16" spans="1:20" s="2" customFormat="true" ht="13.95" customHeight="true">
      <c r="A16" s="16">
        <v>2</v>
      </c>
      <c r="B16" s="17" t="str">
        <f>=DISPIMG("ID_33F047235D7448E0BDB32F1CA29559E9",1)</f>
        <v>=DISPIMG("ID_33F047235D7448E0BDB32F1CA29559E9",1)</v>
      </c>
      <c r="C16" s="18" t="s">
        <v>71</v>
      </c>
      <c r="D16" s="18" t="s">
        <v>70</v>
      </c>
      <c r="E16" s="19"/>
      <c r="F16" s="19"/>
      <c r="G16" s="20" t="s">
        <v>34</v>
      </c>
      <c r="H16" s="21" t="str">
        <f>=DISPIMG("ID_9015C1152CB948398E40FDA4ECDF04C6",1)</f>
        <v>=DISPIMG("ID_9015C1152CB948398E40FDA4ECDF04C6",1)</v>
      </c>
      <c r="I16" s="56">
        <v>18</v>
      </c>
      <c r="J16" s="57" t="s">
        <v>26</v>
      </c>
      <c r="K16" s="23">
        <v>129</v>
      </c>
      <c r="L16" s="58">
        <f>I16*K16</f>
        <v>2322</v>
      </c>
      <c r="M16" s="57" t="s">
        <v>26</v>
      </c>
      <c r="N16" s="23">
        <v>0</v>
      </c>
      <c r="O16" s="23">
        <v>13</v>
      </c>
      <c r="P16" s="23">
        <f t="shared" ref="P16:P21" si="2">MAX(0,K16-O16)</f>
        <v>116</v>
      </c>
      <c r="Q16" s="23">
        <v>4</v>
      </c>
      <c r="R16" s="23"/>
      <c r="T16" s="79"/>
    </row>
    <row r="17" spans="1:20" s="2" customFormat="true">
      <c r="A17" s="16"/>
      <c r="B17" s="16"/>
      <c r="C17" s="22"/>
      <c r="D17" s="22"/>
      <c r="E17" s="23"/>
      <c r="F17" s="23"/>
      <c r="G17" s="20"/>
      <c r="H17" s="21"/>
      <c r="I17" s="59"/>
      <c r="J17" s="57" t="s">
        <v>27</v>
      </c>
      <c r="K17" s="23">
        <v>275</v>
      </c>
      <c r="L17" s="58">
        <f>I16*K17</f>
        <v>4950</v>
      </c>
      <c r="M17" s="57" t="s">
        <v>27</v>
      </c>
      <c r="N17" s="23">
        <v>0</v>
      </c>
      <c r="O17" s="23">
        <v>36</v>
      </c>
      <c r="P17" s="23">
        <f t="shared" si="2"/>
        <v>239</v>
      </c>
      <c r="Q17" s="23">
        <v>10</v>
      </c>
      <c r="R17" s="23"/>
      <c r="T17" s="79"/>
    </row>
    <row r="18" spans="1:20" s="2" customFormat="true">
      <c r="A18" s="16"/>
      <c r="B18" s="16"/>
      <c r="C18" s="22"/>
      <c r="D18" s="22"/>
      <c r="E18" s="23"/>
      <c r="F18" s="23"/>
      <c r="G18" s="20"/>
      <c r="H18" s="21"/>
      <c r="I18" s="59"/>
      <c r="J18" s="57" t="s">
        <v>28</v>
      </c>
      <c r="K18" s="23">
        <v>298</v>
      </c>
      <c r="L18" s="58">
        <f>I16*K18</f>
        <v>5364</v>
      </c>
      <c r="M18" s="57" t="s">
        <v>28</v>
      </c>
      <c r="N18" s="23">
        <v>0</v>
      </c>
      <c r="O18" s="23">
        <v>39</v>
      </c>
      <c r="P18" s="23">
        <f t="shared" si="2"/>
        <v>259</v>
      </c>
      <c r="Q18" s="23">
        <v>10</v>
      </c>
      <c r="R18" s="23"/>
      <c r="T18" s="79"/>
    </row>
    <row r="19" spans="1:20" s="2" customFormat="true">
      <c r="A19" s="16"/>
      <c r="B19" s="16"/>
      <c r="C19" s="22"/>
      <c r="D19" s="22"/>
      <c r="E19" s="23"/>
      <c r="F19" s="23"/>
      <c r="G19" s="20"/>
      <c r="H19" s="21"/>
      <c r="I19" s="59"/>
      <c r="J19" s="57" t="s">
        <v>29</v>
      </c>
      <c r="K19" s="23">
        <v>232</v>
      </c>
      <c r="L19" s="58">
        <f>I16*K19</f>
        <v>4176</v>
      </c>
      <c r="M19" s="57" t="s">
        <v>29</v>
      </c>
      <c r="N19" s="23">
        <v>0</v>
      </c>
      <c r="O19" s="23">
        <v>16</v>
      </c>
      <c r="P19" s="23">
        <f t="shared" si="2"/>
        <v>216</v>
      </c>
      <c r="Q19" s="23">
        <v>3</v>
      </c>
      <c r="R19" s="23"/>
      <c r="T19" s="79"/>
    </row>
    <row r="20" spans="1:20" s="2" customFormat="true">
      <c r="A20" s="16"/>
      <c r="B20" s="16"/>
      <c r="C20" s="22"/>
      <c r="D20" s="22"/>
      <c r="E20" s="23"/>
      <c r="F20" s="23"/>
      <c r="G20" s="20"/>
      <c r="H20" s="21"/>
      <c r="I20" s="59"/>
      <c r="J20" s="57" t="s">
        <v>30</v>
      </c>
      <c r="K20" s="23">
        <v>221</v>
      </c>
      <c r="L20" s="58">
        <f>I16*K20</f>
        <v>3978</v>
      </c>
      <c r="M20" s="57" t="s">
        <v>30</v>
      </c>
      <c r="N20" s="23">
        <v>0</v>
      </c>
      <c r="O20" s="23">
        <v>12</v>
      </c>
      <c r="P20" s="23">
        <f t="shared" si="2"/>
        <v>209</v>
      </c>
      <c r="Q20" s="23">
        <v>6</v>
      </c>
      <c r="R20" s="23"/>
      <c r="T20" s="79"/>
    </row>
    <row r="21" spans="1:20" s="2" customFormat="true">
      <c r="A21" s="16"/>
      <c r="B21" s="16"/>
      <c r="C21" s="22"/>
      <c r="D21" s="22"/>
      <c r="E21" s="23"/>
      <c r="F21" s="23"/>
      <c r="G21" s="20"/>
      <c r="H21" s="21"/>
      <c r="I21" s="60"/>
      <c r="J21" s="23" t="s">
        <v>31</v>
      </c>
      <c r="K21" s="23">
        <v>107</v>
      </c>
      <c r="L21" s="58">
        <f>I16*K21</f>
        <v>1926</v>
      </c>
      <c r="M21" s="23" t="s">
        <v>31</v>
      </c>
      <c r="N21" s="23">
        <v>0</v>
      </c>
      <c r="O21" s="23">
        <v>10</v>
      </c>
      <c r="P21" s="23">
        <f t="shared" si="2"/>
        <v>97</v>
      </c>
      <c r="Q21" s="23">
        <v>2</v>
      </c>
      <c r="R21" s="23"/>
      <c r="T21" s="79"/>
    </row>
    <row r="22" spans="1:20" s="2" customFormat="true">
      <c r="A22" s="24"/>
      <c r="B22" s="24"/>
      <c r="C22" s="25"/>
      <c r="D22" s="25"/>
      <c r="E22" s="23"/>
      <c r="F22" s="23"/>
      <c r="G22" s="26"/>
      <c r="H22" s="27"/>
      <c r="I22" s="62"/>
      <c r="J22" s="61" t="s">
        <v>32</v>
      </c>
      <c r="K22" s="62">
        <f t="shared" ref="K22:N22" si="3">SUM(K16:K21)</f>
        <v>1262</v>
      </c>
      <c r="L22" s="63">
        <f t="shared" si="3"/>
        <v>22716</v>
      </c>
      <c r="M22" s="61" t="s">
        <v>32</v>
      </c>
      <c r="N22" s="62">
        <f t="shared" si="3"/>
        <v>0</v>
      </c>
      <c r="O22" s="62" cm="1">
        <f t="array" ref="O22">SUMPRODUCT(--(O16:O21))</f>
        <v>126</v>
      </c>
      <c r="P22" s="64" cm="1">
        <f t="array" ref="P22">SUMPRODUCT(--(P16:P21))</f>
        <v>1136</v>
      </c>
      <c r="Q22" s="64">
        <f>SUM(Q16:Q21)</f>
        <v>35</v>
      </c>
      <c r="R22" s="64">
        <f>SUM(R16:R21)</f>
        <v>0</v>
      </c>
      <c r="T22" s="79"/>
    </row>
    <row r="23" spans="1:20" s="2" customFormat="true" ht="17.4" customHeight="true">
      <c r="A23" s="28"/>
      <c r="B23" s="29"/>
      <c r="C23" s="29"/>
      <c r="D23" s="29"/>
      <c r="E23" s="29"/>
      <c r="F23" s="29"/>
      <c r="G23" s="29"/>
      <c r="H23" s="29"/>
      <c r="I23" s="29"/>
      <c r="J23" s="29"/>
      <c r="K23" s="29"/>
      <c r="L23" s="29"/>
      <c r="M23" s="29"/>
      <c r="N23" s="29"/>
      <c r="O23" s="29"/>
      <c r="P23" s="29"/>
      <c r="Q23" s="65"/>
      <c r="R23" s="65"/>
      <c r="T23" s="79"/>
    </row>
    <row r="24" spans="1:20" s="1" customFormat="true" ht="10.95" customHeight="true">
      <c r="A24" s="7" t="s">
        <v>3</v>
      </c>
      <c r="B24" s="30" t="s">
        <v>4</v>
      </c>
      <c r="C24" s="30" t="s">
        <v>55</v>
      </c>
      <c r="D24" s="30" t="s">
        <v>6</v>
      </c>
      <c r="E24" s="30" t="s">
        <v>7</v>
      </c>
      <c r="F24" s="30" t="s">
        <v>8</v>
      </c>
      <c r="G24" s="30" t="s">
        <v>9</v>
      </c>
      <c r="H24" s="30"/>
      <c r="I24" s="7" t="s">
        <v>10</v>
      </c>
      <c r="J24" s="7" t="s">
        <v>11</v>
      </c>
      <c r="K24" s="8" t="s">
        <v>12</v>
      </c>
      <c r="L24" s="9"/>
      <c r="M24" s="7" t="s">
        <v>11</v>
      </c>
      <c r="N24" s="52" t="s">
        <v>13</v>
      </c>
      <c r="O24" s="52"/>
      <c r="P24" s="9"/>
      <c r="Q24" s="9" t="s">
        <v>14</v>
      </c>
      <c r="R24" s="9" t="s">
        <v>15</v>
      </c>
      <c r="T24" s="78"/>
    </row>
    <row r="25" spans="1:20" s="1" customFormat="true" ht="16.05" customHeight="true">
      <c r="A25" s="10"/>
      <c r="B25" s="30"/>
      <c r="C25" s="30"/>
      <c r="D25" s="30"/>
      <c r="E25" s="30"/>
      <c r="F25" s="30"/>
      <c r="G25" s="30"/>
      <c r="H25" s="30"/>
      <c r="I25" s="10"/>
      <c r="J25" s="10"/>
      <c r="K25" s="14"/>
      <c r="L25" s="15"/>
      <c r="M25" s="10"/>
      <c r="N25" s="53"/>
      <c r="O25" s="53"/>
      <c r="P25" s="15"/>
      <c r="Q25" s="15"/>
      <c r="R25" s="15"/>
      <c r="T25" s="78"/>
    </row>
    <row r="26" spans="1:20" s="1" customFormat="true" ht="28.95" customHeight="true">
      <c r="A26" s="13"/>
      <c r="B26" s="30"/>
      <c r="C26" s="30"/>
      <c r="D26" s="30"/>
      <c r="E26" s="30"/>
      <c r="F26" s="30"/>
      <c r="G26" s="30"/>
      <c r="H26" s="30"/>
      <c r="I26" s="13"/>
      <c r="J26" s="13"/>
      <c r="K26" s="54" t="s">
        <v>16</v>
      </c>
      <c r="L26" s="55" t="s">
        <v>17</v>
      </c>
      <c r="M26" s="13"/>
      <c r="N26" s="55" t="s">
        <v>18</v>
      </c>
      <c r="O26" s="55" t="s">
        <v>19</v>
      </c>
      <c r="P26" s="55" t="s">
        <v>20</v>
      </c>
      <c r="Q26" s="55" t="s">
        <v>21</v>
      </c>
      <c r="R26" s="55" t="s">
        <v>22</v>
      </c>
      <c r="T26" s="78"/>
    </row>
    <row r="27" spans="1:20" s="2" customFormat="true" ht="13.95" customHeight="true">
      <c r="A27" s="16">
        <v>3</v>
      </c>
      <c r="B27" s="17" t="str">
        <f>=DISPIMG("ID_43CE3B4888ED47C781BAF1051D5775DC",1)</f>
        <v>=DISPIMG("ID_43CE3B4888ED47C781BAF1051D5775DC",1)</v>
      </c>
      <c r="C27" s="18" t="s">
        <v>72</v>
      </c>
      <c r="D27" s="18" t="s">
        <v>70</v>
      </c>
      <c r="E27" s="19"/>
      <c r="F27" s="19"/>
      <c r="G27" s="20" t="s">
        <v>73</v>
      </c>
      <c r="H27" s="21" t="str">
        <f>=DISPIMG("ID_330E87FB94F74EE7BBC7B3D8CE842085",1)</f>
        <v>=DISPIMG("ID_330E87FB94F74EE7BBC7B3D8CE842085",1)</v>
      </c>
      <c r="I27" s="56">
        <v>18</v>
      </c>
      <c r="J27" s="57" t="s">
        <v>26</v>
      </c>
      <c r="K27" s="23">
        <v>0</v>
      </c>
      <c r="L27" s="58">
        <f>I27*K27</f>
        <v>0</v>
      </c>
      <c r="M27" s="57" t="s">
        <v>26</v>
      </c>
      <c r="N27" s="23">
        <v>0</v>
      </c>
      <c r="O27" s="23">
        <f t="shared" ref="O27:O32" si="4">K27-P27</f>
        <v>0</v>
      </c>
      <c r="P27" s="23">
        <v>0</v>
      </c>
      <c r="Q27" s="23"/>
      <c r="R27" s="23"/>
      <c r="T27" s="79"/>
    </row>
    <row r="28" spans="1:20" s="2" customFormat="true">
      <c r="A28" s="16"/>
      <c r="B28" s="16"/>
      <c r="C28" s="22"/>
      <c r="D28" s="22"/>
      <c r="E28" s="23"/>
      <c r="F28" s="23"/>
      <c r="G28" s="20"/>
      <c r="H28" s="21"/>
      <c r="I28" s="59"/>
      <c r="J28" s="57" t="s">
        <v>27</v>
      </c>
      <c r="K28" s="23">
        <v>103</v>
      </c>
      <c r="L28" s="58">
        <f>I27*K28</f>
        <v>1854</v>
      </c>
      <c r="M28" s="57" t="s">
        <v>27</v>
      </c>
      <c r="N28" s="23">
        <v>0</v>
      </c>
      <c r="O28" s="23">
        <v>0</v>
      </c>
      <c r="P28" s="23">
        <f t="shared" ref="P28:P30" si="5">MAX(0,K28-O28)</f>
        <v>103</v>
      </c>
      <c r="Q28" s="23">
        <v>0</v>
      </c>
      <c r="R28" s="23"/>
      <c r="T28" s="79"/>
    </row>
    <row r="29" spans="1:20" s="2" customFormat="true">
      <c r="A29" s="16"/>
      <c r="B29" s="16"/>
      <c r="C29" s="22"/>
      <c r="D29" s="22"/>
      <c r="E29" s="23"/>
      <c r="F29" s="23"/>
      <c r="G29" s="20"/>
      <c r="H29" s="21"/>
      <c r="I29" s="59"/>
      <c r="J29" s="57" t="s">
        <v>28</v>
      </c>
      <c r="K29" s="23">
        <v>105</v>
      </c>
      <c r="L29" s="58">
        <f>I27*K29</f>
        <v>1890</v>
      </c>
      <c r="M29" s="57" t="s">
        <v>28</v>
      </c>
      <c r="N29" s="23">
        <v>0</v>
      </c>
      <c r="O29" s="23">
        <v>1</v>
      </c>
      <c r="P29" s="23">
        <f t="shared" si="5"/>
        <v>104</v>
      </c>
      <c r="Q29" s="23">
        <v>0</v>
      </c>
      <c r="R29" s="23"/>
      <c r="T29" s="79"/>
    </row>
    <row r="30" spans="1:20" s="2" customFormat="true">
      <c r="A30" s="16"/>
      <c r="B30" s="16"/>
      <c r="C30" s="22"/>
      <c r="D30" s="22"/>
      <c r="E30" s="23"/>
      <c r="F30" s="23"/>
      <c r="G30" s="20"/>
      <c r="H30" s="21"/>
      <c r="I30" s="59"/>
      <c r="J30" s="57" t="s">
        <v>29</v>
      </c>
      <c r="K30" s="23">
        <v>100</v>
      </c>
      <c r="L30" s="58">
        <f>I27*K30</f>
        <v>1800</v>
      </c>
      <c r="M30" s="57" t="s">
        <v>29</v>
      </c>
      <c r="N30" s="23">
        <v>0</v>
      </c>
      <c r="O30" s="23">
        <v>1</v>
      </c>
      <c r="P30" s="23">
        <f t="shared" si="5"/>
        <v>99</v>
      </c>
      <c r="Q30" s="23">
        <v>0</v>
      </c>
      <c r="R30" s="23"/>
      <c r="T30" s="79"/>
    </row>
    <row r="31" spans="1:20" s="2" customFormat="true">
      <c r="A31" s="16"/>
      <c r="B31" s="16"/>
      <c r="C31" s="22"/>
      <c r="D31" s="22"/>
      <c r="E31" s="23"/>
      <c r="F31" s="23"/>
      <c r="G31" s="20"/>
      <c r="H31" s="21"/>
      <c r="I31" s="59"/>
      <c r="J31" s="57" t="s">
        <v>30</v>
      </c>
      <c r="K31" s="23">
        <v>0</v>
      </c>
      <c r="L31" s="58">
        <f>I27*K31</f>
        <v>0</v>
      </c>
      <c r="M31" s="57" t="s">
        <v>30</v>
      </c>
      <c r="N31" s="23">
        <v>0</v>
      </c>
      <c r="O31" s="23">
        <f t="shared" si="4"/>
        <v>0</v>
      </c>
      <c r="P31" s="23">
        <v>0</v>
      </c>
      <c r="Q31" s="23"/>
      <c r="R31" s="23"/>
      <c r="T31" s="79"/>
    </row>
    <row r="32" spans="1:20" s="2" customFormat="true">
      <c r="A32" s="16"/>
      <c r="B32" s="16"/>
      <c r="C32" s="22"/>
      <c r="D32" s="22"/>
      <c r="E32" s="23"/>
      <c r="F32" s="23"/>
      <c r="G32" s="20"/>
      <c r="H32" s="21"/>
      <c r="I32" s="60"/>
      <c r="J32" s="23" t="s">
        <v>31</v>
      </c>
      <c r="K32" s="23">
        <v>0</v>
      </c>
      <c r="L32" s="58">
        <f>I27*K32</f>
        <v>0</v>
      </c>
      <c r="M32" s="23" t="s">
        <v>31</v>
      </c>
      <c r="N32" s="23">
        <v>0</v>
      </c>
      <c r="O32" s="23">
        <f t="shared" si="4"/>
        <v>0</v>
      </c>
      <c r="P32" s="23">
        <v>0</v>
      </c>
      <c r="Q32" s="23"/>
      <c r="R32" s="23"/>
      <c r="T32" s="79"/>
    </row>
    <row r="33" spans="1:20" s="2" customFormat="true">
      <c r="A33" s="24"/>
      <c r="B33" s="24"/>
      <c r="C33" s="25"/>
      <c r="D33" s="25"/>
      <c r="E33" s="23"/>
      <c r="F33" s="23"/>
      <c r="G33" s="26"/>
      <c r="H33" s="27"/>
      <c r="I33" s="62"/>
      <c r="J33" s="61" t="s">
        <v>32</v>
      </c>
      <c r="K33" s="62">
        <f t="shared" ref="K33:N33" si="6">SUM(K27:K32)</f>
        <v>308</v>
      </c>
      <c r="L33" s="63">
        <f t="shared" si="6"/>
        <v>5544</v>
      </c>
      <c r="M33" s="61" t="s">
        <v>32</v>
      </c>
      <c r="N33" s="62">
        <f t="shared" si="6"/>
        <v>0</v>
      </c>
      <c r="O33" s="62" cm="1">
        <f t="array" ref="O33">SUMPRODUCT(--(O27:O32))</f>
        <v>2</v>
      </c>
      <c r="P33" s="64" cm="1">
        <f t="array" ref="P33">SUMPRODUCT(--(P27:P32))</f>
        <v>306</v>
      </c>
      <c r="Q33" s="64">
        <f>SUM(Q27:Q32)</f>
        <v>0</v>
      </c>
      <c r="R33" s="64">
        <f>SUM(R27:R32)</f>
        <v>0</v>
      </c>
      <c r="T33" s="79"/>
    </row>
    <row r="34" spans="1:20" s="2" customFormat="true" ht="17.4" customHeight="true">
      <c r="A34" s="28"/>
      <c r="B34" s="29"/>
      <c r="C34" s="29"/>
      <c r="D34" s="29"/>
      <c r="E34" s="29"/>
      <c r="F34" s="29"/>
      <c r="G34" s="29"/>
      <c r="H34" s="29"/>
      <c r="I34" s="29"/>
      <c r="J34" s="29"/>
      <c r="K34" s="29"/>
      <c r="L34" s="29"/>
      <c r="M34" s="29"/>
      <c r="N34" s="29"/>
      <c r="O34" s="29"/>
      <c r="P34" s="29"/>
      <c r="Q34" s="29"/>
      <c r="R34" s="29"/>
      <c r="T34" s="79"/>
    </row>
    <row r="35" spans="1:20" s="1" customFormat="true" ht="10.95" customHeight="true">
      <c r="A35" s="7" t="s">
        <v>3</v>
      </c>
      <c r="B35" s="30" t="s">
        <v>4</v>
      </c>
      <c r="C35" s="30" t="s">
        <v>55</v>
      </c>
      <c r="D35" s="30" t="s">
        <v>6</v>
      </c>
      <c r="E35" s="30" t="s">
        <v>7</v>
      </c>
      <c r="F35" s="30" t="s">
        <v>8</v>
      </c>
      <c r="G35" s="30" t="s">
        <v>9</v>
      </c>
      <c r="H35" s="30"/>
      <c r="I35" s="7" t="s">
        <v>10</v>
      </c>
      <c r="J35" s="7" t="s">
        <v>11</v>
      </c>
      <c r="K35" s="8" t="s">
        <v>12</v>
      </c>
      <c r="L35" s="9"/>
      <c r="M35" s="7" t="s">
        <v>11</v>
      </c>
      <c r="N35" s="52" t="s">
        <v>13</v>
      </c>
      <c r="O35" s="52"/>
      <c r="P35" s="9"/>
      <c r="Q35" s="9" t="s">
        <v>14</v>
      </c>
      <c r="R35" s="9" t="s">
        <v>15</v>
      </c>
      <c r="T35" s="78"/>
    </row>
    <row r="36" spans="1:20" s="1" customFormat="true" ht="16.05" customHeight="true">
      <c r="A36" s="10"/>
      <c r="B36" s="30"/>
      <c r="C36" s="30"/>
      <c r="D36" s="30"/>
      <c r="E36" s="30"/>
      <c r="F36" s="30"/>
      <c r="G36" s="30"/>
      <c r="H36" s="30"/>
      <c r="I36" s="10"/>
      <c r="J36" s="10"/>
      <c r="K36" s="14"/>
      <c r="L36" s="15"/>
      <c r="M36" s="10"/>
      <c r="N36" s="53"/>
      <c r="O36" s="53"/>
      <c r="P36" s="15"/>
      <c r="Q36" s="15"/>
      <c r="R36" s="15"/>
      <c r="T36" s="78"/>
    </row>
    <row r="37" spans="1:20" s="1" customFormat="true" ht="28.95" customHeight="true">
      <c r="A37" s="13"/>
      <c r="B37" s="30"/>
      <c r="C37" s="30"/>
      <c r="D37" s="30"/>
      <c r="E37" s="30"/>
      <c r="F37" s="30"/>
      <c r="G37" s="30"/>
      <c r="H37" s="30"/>
      <c r="I37" s="13"/>
      <c r="J37" s="13"/>
      <c r="K37" s="54" t="s">
        <v>16</v>
      </c>
      <c r="L37" s="55" t="s">
        <v>17</v>
      </c>
      <c r="M37" s="13"/>
      <c r="N37" s="55" t="s">
        <v>18</v>
      </c>
      <c r="O37" s="55" t="s">
        <v>19</v>
      </c>
      <c r="P37" s="55" t="s">
        <v>20</v>
      </c>
      <c r="Q37" s="55" t="s">
        <v>21</v>
      </c>
      <c r="R37" s="55" t="s">
        <v>22</v>
      </c>
      <c r="T37" s="78"/>
    </row>
    <row r="38" spans="1:20" s="2" customFormat="true" ht="13.95" customHeight="true">
      <c r="A38" s="16">
        <v>4</v>
      </c>
      <c r="B38" s="17" t="str">
        <f>=DISPIMG("ID_1FA77A749AD946E7B640C690DB7057E8",1)</f>
        <v>=DISPIMG("ID_1FA77A749AD946E7B640C690DB7057E8",1)</v>
      </c>
      <c r="C38" s="18" t="s">
        <v>74</v>
      </c>
      <c r="D38" s="18" t="s">
        <v>70</v>
      </c>
      <c r="E38" s="19"/>
      <c r="F38" s="19"/>
      <c r="G38" s="20" t="s">
        <v>36</v>
      </c>
      <c r="H38" s="21" t="str">
        <f>=DISPIMG("ID_024F7F6561E048C68CA3670494339A8B",1)</f>
        <v>=DISPIMG("ID_024F7F6561E048C68CA3670494339A8B",1)</v>
      </c>
      <c r="I38" s="56">
        <v>18</v>
      </c>
      <c r="J38" s="57" t="s">
        <v>26</v>
      </c>
      <c r="K38" s="23">
        <v>126</v>
      </c>
      <c r="L38" s="58">
        <f>I38*K38</f>
        <v>2268</v>
      </c>
      <c r="M38" s="57" t="s">
        <v>26</v>
      </c>
      <c r="N38" s="23">
        <v>0</v>
      </c>
      <c r="O38" s="23">
        <v>30</v>
      </c>
      <c r="P38" s="23">
        <f t="shared" ref="P38:P43" si="7">MAX(0,K38-O38)</f>
        <v>96</v>
      </c>
      <c r="Q38" s="23">
        <v>4</v>
      </c>
      <c r="R38" s="23"/>
      <c r="T38" s="79"/>
    </row>
    <row r="39" spans="1:20" s="2" customFormat="true">
      <c r="A39" s="16"/>
      <c r="B39" s="16"/>
      <c r="C39" s="22"/>
      <c r="D39" s="22"/>
      <c r="E39" s="23"/>
      <c r="F39" s="23"/>
      <c r="G39" s="20"/>
      <c r="H39" s="21"/>
      <c r="I39" s="59"/>
      <c r="J39" s="57" t="s">
        <v>27</v>
      </c>
      <c r="K39" s="23">
        <v>134</v>
      </c>
      <c r="L39" s="58">
        <f>I38*K39</f>
        <v>2412</v>
      </c>
      <c r="M39" s="57" t="s">
        <v>27</v>
      </c>
      <c r="N39" s="23">
        <v>1</v>
      </c>
      <c r="O39" s="23">
        <v>40</v>
      </c>
      <c r="P39" s="23">
        <f t="shared" si="7"/>
        <v>94</v>
      </c>
      <c r="Q39" s="23">
        <v>7</v>
      </c>
      <c r="R39" s="23"/>
      <c r="T39" s="79"/>
    </row>
    <row r="40" spans="1:20" s="2" customFormat="true">
      <c r="A40" s="16"/>
      <c r="B40" s="16"/>
      <c r="C40" s="22"/>
      <c r="D40" s="22"/>
      <c r="E40" s="23"/>
      <c r="F40" s="23"/>
      <c r="G40" s="20"/>
      <c r="H40" s="21"/>
      <c r="I40" s="59"/>
      <c r="J40" s="57" t="s">
        <v>28</v>
      </c>
      <c r="K40" s="23">
        <v>145</v>
      </c>
      <c r="L40" s="58">
        <f>I38*K40</f>
        <v>2610</v>
      </c>
      <c r="M40" s="57" t="s">
        <v>28</v>
      </c>
      <c r="N40" s="23">
        <v>1</v>
      </c>
      <c r="O40" s="23">
        <v>31</v>
      </c>
      <c r="P40" s="23">
        <f t="shared" si="7"/>
        <v>114</v>
      </c>
      <c r="Q40" s="23">
        <v>8</v>
      </c>
      <c r="R40" s="23"/>
      <c r="T40" s="79"/>
    </row>
    <row r="41" spans="1:20" s="2" customFormat="true">
      <c r="A41" s="16"/>
      <c r="B41" s="16"/>
      <c r="C41" s="22"/>
      <c r="D41" s="22"/>
      <c r="E41" s="23"/>
      <c r="F41" s="23"/>
      <c r="G41" s="20"/>
      <c r="H41" s="21"/>
      <c r="I41" s="59"/>
      <c r="J41" s="57" t="s">
        <v>29</v>
      </c>
      <c r="K41" s="23">
        <v>114</v>
      </c>
      <c r="L41" s="58">
        <f>I38*K41</f>
        <v>2052</v>
      </c>
      <c r="M41" s="57" t="s">
        <v>29</v>
      </c>
      <c r="N41" s="23">
        <v>0</v>
      </c>
      <c r="O41" s="23">
        <v>24</v>
      </c>
      <c r="P41" s="23">
        <f t="shared" si="7"/>
        <v>90</v>
      </c>
      <c r="Q41" s="23">
        <v>3</v>
      </c>
      <c r="R41" s="23"/>
      <c r="T41" s="79"/>
    </row>
    <row r="42" spans="1:20" s="2" customFormat="true">
      <c r="A42" s="16"/>
      <c r="B42" s="16"/>
      <c r="C42" s="22"/>
      <c r="D42" s="22"/>
      <c r="E42" s="23"/>
      <c r="F42" s="23"/>
      <c r="G42" s="20"/>
      <c r="H42" s="21"/>
      <c r="I42" s="59"/>
      <c r="J42" s="57" t="s">
        <v>30</v>
      </c>
      <c r="K42" s="23">
        <v>109</v>
      </c>
      <c r="L42" s="58">
        <f>I38*K42</f>
        <v>1962</v>
      </c>
      <c r="M42" s="57" t="s">
        <v>30</v>
      </c>
      <c r="N42" s="23">
        <v>0</v>
      </c>
      <c r="O42" s="23">
        <v>6</v>
      </c>
      <c r="P42" s="23">
        <f t="shared" si="7"/>
        <v>103</v>
      </c>
      <c r="Q42" s="23">
        <v>0</v>
      </c>
      <c r="R42" s="23"/>
      <c r="T42" s="79"/>
    </row>
    <row r="43" spans="1:20" s="2" customFormat="true">
      <c r="A43" s="16"/>
      <c r="B43" s="16"/>
      <c r="C43" s="22"/>
      <c r="D43" s="22"/>
      <c r="E43" s="23"/>
      <c r="F43" s="23"/>
      <c r="G43" s="20"/>
      <c r="H43" s="21"/>
      <c r="I43" s="60"/>
      <c r="J43" s="23" t="s">
        <v>31</v>
      </c>
      <c r="K43" s="23">
        <v>106</v>
      </c>
      <c r="L43" s="58">
        <f>I38*K43</f>
        <v>1908</v>
      </c>
      <c r="M43" s="23" t="s">
        <v>31</v>
      </c>
      <c r="N43" s="23">
        <v>0</v>
      </c>
      <c r="O43" s="23">
        <v>4</v>
      </c>
      <c r="P43" s="23">
        <f t="shared" si="7"/>
        <v>102</v>
      </c>
      <c r="Q43" s="23">
        <v>0</v>
      </c>
      <c r="R43" s="23"/>
      <c r="T43" s="79"/>
    </row>
    <row r="44" spans="1:20" s="2" customFormat="true">
      <c r="A44" s="24"/>
      <c r="B44" s="24"/>
      <c r="C44" s="25"/>
      <c r="D44" s="25"/>
      <c r="E44" s="23"/>
      <c r="F44" s="23"/>
      <c r="G44" s="26"/>
      <c r="H44" s="27"/>
      <c r="I44" s="62"/>
      <c r="J44" s="61" t="s">
        <v>32</v>
      </c>
      <c r="K44" s="62">
        <f t="shared" ref="K44:N44" si="8">SUM(K38:K43)</f>
        <v>734</v>
      </c>
      <c r="L44" s="63">
        <f t="shared" si="8"/>
        <v>13212</v>
      </c>
      <c r="M44" s="61" t="s">
        <v>32</v>
      </c>
      <c r="N44" s="62">
        <f t="shared" si="8"/>
        <v>2</v>
      </c>
      <c r="O44" s="62" cm="1">
        <f t="array" ref="O44">SUMPRODUCT(--(O38:O43))</f>
        <v>135</v>
      </c>
      <c r="P44" s="64" cm="1">
        <f t="array" ref="P44">SUMPRODUCT(--(P38:P43))</f>
        <v>599</v>
      </c>
      <c r="Q44" s="64">
        <f>SUM(Q38:Q43)</f>
        <v>22</v>
      </c>
      <c r="R44" s="64">
        <f>SUM(R38:R43)</f>
        <v>0</v>
      </c>
      <c r="T44" s="79"/>
    </row>
    <row r="45" spans="1:20" s="2" customFormat="true" ht="17.4" customHeight="true">
      <c r="A45" s="28"/>
      <c r="B45" s="29"/>
      <c r="C45" s="29"/>
      <c r="D45" s="29"/>
      <c r="E45" s="29"/>
      <c r="F45" s="29"/>
      <c r="G45" s="29"/>
      <c r="H45" s="29"/>
      <c r="I45" s="29"/>
      <c r="J45" s="29"/>
      <c r="K45" s="29"/>
      <c r="L45" s="29"/>
      <c r="M45" s="29"/>
      <c r="N45" s="29"/>
      <c r="O45" s="29"/>
      <c r="P45" s="29"/>
      <c r="T45" s="79"/>
    </row>
    <row r="46" spans="1:20" s="1" customFormat="true" ht="10.95" customHeight="true">
      <c r="A46" s="7" t="s">
        <v>3</v>
      </c>
      <c r="B46" s="30" t="s">
        <v>4</v>
      </c>
      <c r="C46" s="30" t="s">
        <v>55</v>
      </c>
      <c r="D46" s="30" t="s">
        <v>6</v>
      </c>
      <c r="E46" s="30" t="s">
        <v>7</v>
      </c>
      <c r="F46" s="30" t="s">
        <v>8</v>
      </c>
      <c r="G46" s="30" t="s">
        <v>9</v>
      </c>
      <c r="H46" s="30"/>
      <c r="I46" s="7" t="s">
        <v>10</v>
      </c>
      <c r="J46" s="7" t="s">
        <v>11</v>
      </c>
      <c r="K46" s="8" t="s">
        <v>12</v>
      </c>
      <c r="L46" s="9"/>
      <c r="M46" s="7" t="s">
        <v>11</v>
      </c>
      <c r="N46" s="52" t="s">
        <v>13</v>
      </c>
      <c r="O46" s="52"/>
      <c r="P46" s="9"/>
      <c r="Q46" s="9" t="s">
        <v>14</v>
      </c>
      <c r="R46" s="9" t="s">
        <v>15</v>
      </c>
      <c r="T46" s="78"/>
    </row>
    <row r="47" spans="1:20" s="1" customFormat="true" ht="16.05" customHeight="true">
      <c r="A47" s="10"/>
      <c r="B47" s="30"/>
      <c r="C47" s="30"/>
      <c r="D47" s="30"/>
      <c r="E47" s="30"/>
      <c r="F47" s="30"/>
      <c r="G47" s="30"/>
      <c r="H47" s="30"/>
      <c r="I47" s="10"/>
      <c r="J47" s="10"/>
      <c r="K47" s="14"/>
      <c r="L47" s="15"/>
      <c r="M47" s="10"/>
      <c r="N47" s="53"/>
      <c r="O47" s="53"/>
      <c r="P47" s="15"/>
      <c r="Q47" s="15"/>
      <c r="R47" s="15"/>
      <c r="T47" s="78"/>
    </row>
    <row r="48" spans="1:20" s="1" customFormat="true" ht="28.95" customHeight="true">
      <c r="A48" s="13"/>
      <c r="B48" s="30"/>
      <c r="C48" s="30"/>
      <c r="D48" s="30"/>
      <c r="E48" s="30"/>
      <c r="F48" s="30"/>
      <c r="G48" s="30"/>
      <c r="H48" s="30"/>
      <c r="I48" s="13"/>
      <c r="J48" s="13"/>
      <c r="K48" s="54" t="s">
        <v>16</v>
      </c>
      <c r="L48" s="55" t="s">
        <v>17</v>
      </c>
      <c r="M48" s="13"/>
      <c r="N48" s="55" t="s">
        <v>18</v>
      </c>
      <c r="O48" s="55" t="s">
        <v>19</v>
      </c>
      <c r="P48" s="55" t="s">
        <v>20</v>
      </c>
      <c r="Q48" s="55" t="s">
        <v>21</v>
      </c>
      <c r="R48" s="55" t="s">
        <v>22</v>
      </c>
      <c r="T48" s="78"/>
    </row>
    <row r="49" spans="1:20" s="2" customFormat="true" ht="13.95" customHeight="true">
      <c r="A49" s="16">
        <v>5</v>
      </c>
      <c r="B49" s="17" t="str">
        <f>=DISPIMG("ID_EC8C090BFDBF4CDEB82D804424C36DA6",1)</f>
        <v>=DISPIMG("ID_EC8C090BFDBF4CDEB82D804424C36DA6",1)</v>
      </c>
      <c r="C49" s="18" t="s">
        <v>75</v>
      </c>
      <c r="D49" s="18" t="s">
        <v>70</v>
      </c>
      <c r="E49" s="19"/>
      <c r="F49" s="19"/>
      <c r="G49" s="20" t="s">
        <v>38</v>
      </c>
      <c r="H49" s="21" t="str">
        <f>=DISPIMG("ID_18C6F6EB13E640F59B308565A77BCB99",1)</f>
        <v>=DISPIMG("ID_18C6F6EB13E640F59B308565A77BCB99",1)</v>
      </c>
      <c r="I49" s="56">
        <v>18</v>
      </c>
      <c r="J49" s="57" t="s">
        <v>26</v>
      </c>
      <c r="K49" s="23">
        <v>0</v>
      </c>
      <c r="L49" s="58">
        <f>I49*K49</f>
        <v>0</v>
      </c>
      <c r="M49" s="57" t="s">
        <v>26</v>
      </c>
      <c r="N49" s="23">
        <v>0</v>
      </c>
      <c r="O49" s="23">
        <f t="shared" ref="O49:O54" si="9">K49-P49</f>
        <v>0</v>
      </c>
      <c r="P49" s="23">
        <v>0</v>
      </c>
      <c r="Q49" s="23"/>
      <c r="R49" s="23"/>
      <c r="T49" s="79"/>
    </row>
    <row r="50" spans="1:20" s="2" customFormat="true">
      <c r="A50" s="16"/>
      <c r="B50" s="16"/>
      <c r="C50" s="22"/>
      <c r="D50" s="22"/>
      <c r="E50" s="23"/>
      <c r="F50" s="23"/>
      <c r="G50" s="20"/>
      <c r="H50" s="21"/>
      <c r="I50" s="59"/>
      <c r="J50" s="57" t="s">
        <v>27</v>
      </c>
      <c r="K50" s="23">
        <v>104</v>
      </c>
      <c r="L50" s="58">
        <f>I49*K50</f>
        <v>1872</v>
      </c>
      <c r="M50" s="57" t="s">
        <v>27</v>
      </c>
      <c r="N50" s="23">
        <v>0</v>
      </c>
      <c r="O50" s="23">
        <v>0</v>
      </c>
      <c r="P50" s="23">
        <f t="shared" ref="P50:P52" si="10">MAX(0,K50-O50)</f>
        <v>104</v>
      </c>
      <c r="Q50" s="23">
        <v>0</v>
      </c>
      <c r="R50" s="23"/>
      <c r="T50" s="79"/>
    </row>
    <row r="51" spans="1:20" s="2" customFormat="true">
      <c r="A51" s="16"/>
      <c r="B51" s="16"/>
      <c r="C51" s="22"/>
      <c r="D51" s="22"/>
      <c r="E51" s="23"/>
      <c r="F51" s="23"/>
      <c r="G51" s="20"/>
      <c r="H51" s="21"/>
      <c r="I51" s="59"/>
      <c r="J51" s="57" t="s">
        <v>28</v>
      </c>
      <c r="K51" s="23">
        <v>101</v>
      </c>
      <c r="L51" s="58">
        <f>I49*K51</f>
        <v>1818</v>
      </c>
      <c r="M51" s="57" t="s">
        <v>28</v>
      </c>
      <c r="N51" s="23">
        <v>0</v>
      </c>
      <c r="O51" s="23">
        <v>0</v>
      </c>
      <c r="P51" s="23">
        <f t="shared" si="10"/>
        <v>101</v>
      </c>
      <c r="Q51" s="23">
        <v>0</v>
      </c>
      <c r="R51" s="23"/>
      <c r="T51" s="79"/>
    </row>
    <row r="52" spans="1:20" s="2" customFormat="true">
      <c r="A52" s="16"/>
      <c r="B52" s="16"/>
      <c r="C52" s="22"/>
      <c r="D52" s="22"/>
      <c r="E52" s="23"/>
      <c r="F52" s="23"/>
      <c r="G52" s="20"/>
      <c r="H52" s="21"/>
      <c r="I52" s="59"/>
      <c r="J52" s="57" t="s">
        <v>29</v>
      </c>
      <c r="K52" s="23">
        <v>107</v>
      </c>
      <c r="L52" s="58">
        <f>I49*K52</f>
        <v>1926</v>
      </c>
      <c r="M52" s="57" t="s">
        <v>29</v>
      </c>
      <c r="N52" s="23">
        <v>0</v>
      </c>
      <c r="O52" s="23">
        <v>0</v>
      </c>
      <c r="P52" s="23">
        <f t="shared" si="10"/>
        <v>107</v>
      </c>
      <c r="Q52" s="23">
        <v>0</v>
      </c>
      <c r="R52" s="23"/>
      <c r="T52" s="79"/>
    </row>
    <row r="53" spans="1:20" s="2" customFormat="true">
      <c r="A53" s="16"/>
      <c r="B53" s="16"/>
      <c r="C53" s="22"/>
      <c r="D53" s="22"/>
      <c r="E53" s="23"/>
      <c r="F53" s="23"/>
      <c r="G53" s="20"/>
      <c r="H53" s="21"/>
      <c r="I53" s="59"/>
      <c r="J53" s="57" t="s">
        <v>30</v>
      </c>
      <c r="K53" s="23">
        <v>0</v>
      </c>
      <c r="L53" s="58">
        <f>I49*K53</f>
        <v>0</v>
      </c>
      <c r="M53" s="57" t="s">
        <v>30</v>
      </c>
      <c r="N53" s="23">
        <v>0</v>
      </c>
      <c r="O53" s="23">
        <f t="shared" si="9"/>
        <v>0</v>
      </c>
      <c r="P53" s="23">
        <v>0</v>
      </c>
      <c r="Q53" s="23"/>
      <c r="R53" s="23"/>
      <c r="T53" s="79"/>
    </row>
    <row r="54" spans="1:20" s="2" customFormat="true">
      <c r="A54" s="16"/>
      <c r="B54" s="16"/>
      <c r="C54" s="22"/>
      <c r="D54" s="22"/>
      <c r="E54" s="23"/>
      <c r="F54" s="23"/>
      <c r="G54" s="20"/>
      <c r="H54" s="21"/>
      <c r="I54" s="60"/>
      <c r="J54" s="23" t="s">
        <v>31</v>
      </c>
      <c r="K54" s="23">
        <v>0</v>
      </c>
      <c r="L54" s="58">
        <f>I49*K54</f>
        <v>0</v>
      </c>
      <c r="M54" s="23" t="s">
        <v>31</v>
      </c>
      <c r="N54" s="23">
        <v>0</v>
      </c>
      <c r="O54" s="23">
        <f t="shared" si="9"/>
        <v>0</v>
      </c>
      <c r="P54" s="23">
        <v>0</v>
      </c>
      <c r="Q54" s="23"/>
      <c r="R54" s="23"/>
      <c r="T54" s="79"/>
    </row>
    <row r="55" spans="1:20" s="2" customFormat="true">
      <c r="A55" s="24"/>
      <c r="B55" s="24"/>
      <c r="C55" s="25"/>
      <c r="D55" s="25"/>
      <c r="E55" s="23"/>
      <c r="F55" s="23"/>
      <c r="G55" s="26"/>
      <c r="H55" s="27"/>
      <c r="I55" s="62"/>
      <c r="J55" s="61" t="s">
        <v>32</v>
      </c>
      <c r="K55" s="62">
        <f t="shared" ref="K55:N55" si="11">SUM(K49:K54)</f>
        <v>312</v>
      </c>
      <c r="L55" s="63">
        <f t="shared" si="11"/>
        <v>5616</v>
      </c>
      <c r="M55" s="61" t="s">
        <v>32</v>
      </c>
      <c r="N55" s="62">
        <f t="shared" si="11"/>
        <v>0</v>
      </c>
      <c r="O55" s="62" cm="1">
        <f t="array" ref="O55">SUMPRODUCT(--(O49:O54))</f>
        <v>0</v>
      </c>
      <c r="P55" s="64" cm="1">
        <f t="array" ref="P55">SUMPRODUCT(--(P49:P54))</f>
        <v>312</v>
      </c>
      <c r="Q55" s="64">
        <f>SUM(Q49:Q54)</f>
        <v>0</v>
      </c>
      <c r="R55" s="64">
        <f>SUM(R49:R54)</f>
        <v>0</v>
      </c>
      <c r="T55" s="79"/>
    </row>
    <row r="56" spans="1:20" s="2" customFormat="true" ht="17.4" customHeight="true">
      <c r="A56" s="28"/>
      <c r="B56" s="29"/>
      <c r="C56" s="29"/>
      <c r="D56" s="29"/>
      <c r="E56" s="29"/>
      <c r="F56" s="29"/>
      <c r="G56" s="29"/>
      <c r="H56" s="29"/>
      <c r="I56" s="29"/>
      <c r="J56" s="29"/>
      <c r="K56" s="29"/>
      <c r="L56" s="29"/>
      <c r="M56" s="29"/>
      <c r="N56" s="29"/>
      <c r="O56" s="29"/>
      <c r="P56" s="29"/>
      <c r="Q56" s="29"/>
      <c r="R56" s="29"/>
      <c r="T56" s="79"/>
    </row>
    <row r="57" spans="1:20" s="1" customFormat="true" ht="10.95" customHeight="true">
      <c r="A57" s="7" t="s">
        <v>3</v>
      </c>
      <c r="B57" s="30" t="s">
        <v>4</v>
      </c>
      <c r="C57" s="30" t="s">
        <v>55</v>
      </c>
      <c r="D57" s="30" t="s">
        <v>6</v>
      </c>
      <c r="E57" s="30" t="s">
        <v>7</v>
      </c>
      <c r="F57" s="30" t="s">
        <v>8</v>
      </c>
      <c r="G57" s="30" t="s">
        <v>9</v>
      </c>
      <c r="H57" s="30"/>
      <c r="I57" s="7" t="s">
        <v>10</v>
      </c>
      <c r="J57" s="7" t="s">
        <v>11</v>
      </c>
      <c r="K57" s="8" t="s">
        <v>12</v>
      </c>
      <c r="L57" s="9"/>
      <c r="M57" s="7" t="s">
        <v>11</v>
      </c>
      <c r="N57" s="52" t="s">
        <v>13</v>
      </c>
      <c r="O57" s="52"/>
      <c r="P57" s="9"/>
      <c r="Q57" s="9" t="s">
        <v>14</v>
      </c>
      <c r="R57" s="9" t="s">
        <v>15</v>
      </c>
      <c r="T57" s="78"/>
    </row>
    <row r="58" spans="1:20" s="1" customFormat="true" ht="16.05" customHeight="true">
      <c r="A58" s="10"/>
      <c r="B58" s="30"/>
      <c r="C58" s="30"/>
      <c r="D58" s="30"/>
      <c r="E58" s="30"/>
      <c r="F58" s="30"/>
      <c r="G58" s="30"/>
      <c r="H58" s="30"/>
      <c r="I58" s="10"/>
      <c r="J58" s="10"/>
      <c r="K58" s="14"/>
      <c r="L58" s="15"/>
      <c r="M58" s="10"/>
      <c r="N58" s="53"/>
      <c r="O58" s="53"/>
      <c r="P58" s="15"/>
      <c r="Q58" s="15"/>
      <c r="R58" s="15"/>
      <c r="T58" s="78"/>
    </row>
    <row r="59" spans="1:20" s="1" customFormat="true" ht="17.4">
      <c r="A59" s="13"/>
      <c r="B59" s="30"/>
      <c r="C59" s="30"/>
      <c r="D59" s="30"/>
      <c r="E59" s="30"/>
      <c r="F59" s="30"/>
      <c r="G59" s="30"/>
      <c r="H59" s="30"/>
      <c r="I59" s="13"/>
      <c r="J59" s="13"/>
      <c r="K59" s="54" t="s">
        <v>16</v>
      </c>
      <c r="L59" s="55" t="s">
        <v>17</v>
      </c>
      <c r="M59" s="13"/>
      <c r="N59" s="55" t="s">
        <v>18</v>
      </c>
      <c r="O59" s="55" t="s">
        <v>19</v>
      </c>
      <c r="P59" s="55" t="s">
        <v>20</v>
      </c>
      <c r="Q59" s="55" t="s">
        <v>21</v>
      </c>
      <c r="R59" s="55" t="s">
        <v>22</v>
      </c>
      <c r="T59" s="78"/>
    </row>
    <row r="60" spans="1:20" s="2" customFormat="true" ht="13.95" customHeight="true">
      <c r="A60" s="16">
        <v>6</v>
      </c>
      <c r="B60" s="17" t="str">
        <f>=DISPIMG("ID_277AB3C3758F41F1A1EFE54023AED688",1)</f>
        <v>=DISPIMG("ID_277AB3C3758F41F1A1EFE54023AED688",1)</v>
      </c>
      <c r="C60" s="18" t="s">
        <v>76</v>
      </c>
      <c r="D60" s="18" t="s">
        <v>70</v>
      </c>
      <c r="E60" s="19"/>
      <c r="F60" s="19"/>
      <c r="G60" s="20" t="s">
        <v>77</v>
      </c>
      <c r="H60" s="21" t="str">
        <f>=DISPIMG("ID_4CA21A0154194B5A96D90B925272A092",1)</f>
        <v>=DISPIMG("ID_4CA21A0154194B5A96D90B925272A092",1)</v>
      </c>
      <c r="I60" s="56">
        <v>18</v>
      </c>
      <c r="J60" s="57" t="s">
        <v>26</v>
      </c>
      <c r="K60" s="23">
        <v>0</v>
      </c>
      <c r="L60" s="58">
        <f>I60*K60</f>
        <v>0</v>
      </c>
      <c r="M60" s="57" t="s">
        <v>26</v>
      </c>
      <c r="N60" s="23">
        <v>0</v>
      </c>
      <c r="O60" s="23">
        <f t="shared" ref="O60:O65" si="12">K60-P60</f>
        <v>0</v>
      </c>
      <c r="P60" s="23">
        <v>0</v>
      </c>
      <c r="Q60" s="23"/>
      <c r="R60" s="23"/>
      <c r="T60" s="79"/>
    </row>
    <row r="61" spans="1:20" s="2" customFormat="true">
      <c r="A61" s="16"/>
      <c r="B61" s="16"/>
      <c r="C61" s="22"/>
      <c r="D61" s="22"/>
      <c r="E61" s="23"/>
      <c r="F61" s="23"/>
      <c r="G61" s="20"/>
      <c r="H61" s="21"/>
      <c r="I61" s="59"/>
      <c r="J61" s="57" t="s">
        <v>27</v>
      </c>
      <c r="K61" s="23">
        <v>89</v>
      </c>
      <c r="L61" s="58">
        <f>I60*K61</f>
        <v>1602</v>
      </c>
      <c r="M61" s="57" t="s">
        <v>27</v>
      </c>
      <c r="N61" s="23">
        <v>0</v>
      </c>
      <c r="O61" s="23">
        <v>2</v>
      </c>
      <c r="P61" s="23">
        <f t="shared" ref="P61:P63" si="13">MAX(0,K61-O61)</f>
        <v>87</v>
      </c>
      <c r="Q61" s="23">
        <v>0</v>
      </c>
      <c r="R61" s="23"/>
      <c r="T61" s="79"/>
    </row>
    <row r="62" spans="1:20" s="2" customFormat="true">
      <c r="A62" s="16"/>
      <c r="B62" s="16"/>
      <c r="C62" s="22"/>
      <c r="D62" s="22"/>
      <c r="E62" s="23"/>
      <c r="F62" s="23"/>
      <c r="G62" s="20"/>
      <c r="H62" s="21"/>
      <c r="I62" s="59"/>
      <c r="J62" s="57" t="s">
        <v>28</v>
      </c>
      <c r="K62" s="23">
        <v>104</v>
      </c>
      <c r="L62" s="58">
        <f>I60*K62</f>
        <v>1872</v>
      </c>
      <c r="M62" s="57" t="s">
        <v>28</v>
      </c>
      <c r="N62" s="23">
        <v>0</v>
      </c>
      <c r="O62" s="23">
        <v>2</v>
      </c>
      <c r="P62" s="23">
        <f t="shared" si="13"/>
        <v>102</v>
      </c>
      <c r="Q62" s="23">
        <v>1</v>
      </c>
      <c r="R62" s="23"/>
      <c r="T62" s="79"/>
    </row>
    <row r="63" spans="1:20" s="2" customFormat="true">
      <c r="A63" s="16"/>
      <c r="B63" s="16"/>
      <c r="C63" s="22"/>
      <c r="D63" s="22"/>
      <c r="E63" s="23"/>
      <c r="F63" s="23"/>
      <c r="G63" s="20"/>
      <c r="H63" s="21"/>
      <c r="I63" s="59"/>
      <c r="J63" s="57" t="s">
        <v>29</v>
      </c>
      <c r="K63" s="23">
        <v>105</v>
      </c>
      <c r="L63" s="58">
        <f>I60*K63</f>
        <v>1890</v>
      </c>
      <c r="M63" s="57" t="s">
        <v>29</v>
      </c>
      <c r="N63" s="23">
        <v>0</v>
      </c>
      <c r="O63" s="23">
        <v>1</v>
      </c>
      <c r="P63" s="23">
        <f t="shared" si="13"/>
        <v>104</v>
      </c>
      <c r="Q63" s="23">
        <v>0</v>
      </c>
      <c r="R63" s="23"/>
      <c r="T63" s="79"/>
    </row>
    <row r="64" spans="1:20" s="2" customFormat="true">
      <c r="A64" s="16"/>
      <c r="B64" s="16"/>
      <c r="C64" s="22"/>
      <c r="D64" s="22"/>
      <c r="E64" s="23"/>
      <c r="F64" s="23"/>
      <c r="G64" s="20"/>
      <c r="H64" s="21"/>
      <c r="I64" s="59"/>
      <c r="J64" s="57" t="s">
        <v>30</v>
      </c>
      <c r="K64" s="23">
        <v>0</v>
      </c>
      <c r="L64" s="58">
        <f>I60*K64</f>
        <v>0</v>
      </c>
      <c r="M64" s="57" t="s">
        <v>30</v>
      </c>
      <c r="N64" s="23">
        <v>0</v>
      </c>
      <c r="O64" s="23">
        <f t="shared" si="12"/>
        <v>0</v>
      </c>
      <c r="P64" s="23">
        <v>0</v>
      </c>
      <c r="Q64" s="23"/>
      <c r="R64" s="23"/>
      <c r="T64" s="79"/>
    </row>
    <row r="65" spans="1:20" s="2" customFormat="true">
      <c r="A65" s="16"/>
      <c r="B65" s="16"/>
      <c r="C65" s="22"/>
      <c r="D65" s="22"/>
      <c r="E65" s="23"/>
      <c r="F65" s="23"/>
      <c r="G65" s="20"/>
      <c r="H65" s="21"/>
      <c r="I65" s="60"/>
      <c r="J65" s="23" t="s">
        <v>31</v>
      </c>
      <c r="K65" s="23">
        <v>0</v>
      </c>
      <c r="L65" s="58">
        <f>I60*K65</f>
        <v>0</v>
      </c>
      <c r="M65" s="23" t="s">
        <v>31</v>
      </c>
      <c r="N65" s="23">
        <v>0</v>
      </c>
      <c r="O65" s="23">
        <f t="shared" si="12"/>
        <v>0</v>
      </c>
      <c r="P65" s="23">
        <v>0</v>
      </c>
      <c r="Q65" s="23"/>
      <c r="R65" s="23"/>
      <c r="T65" s="79"/>
    </row>
    <row r="66" spans="1:20" s="2" customFormat="true">
      <c r="A66" s="24"/>
      <c r="B66" s="24"/>
      <c r="C66" s="25"/>
      <c r="D66" s="25"/>
      <c r="E66" s="23"/>
      <c r="F66" s="23"/>
      <c r="G66" s="26"/>
      <c r="H66" s="27"/>
      <c r="I66" s="62"/>
      <c r="J66" s="61" t="s">
        <v>32</v>
      </c>
      <c r="K66" s="62">
        <f t="shared" ref="K66:N66" si="14">SUM(K60:K65)</f>
        <v>298</v>
      </c>
      <c r="L66" s="63">
        <f t="shared" si="14"/>
        <v>5364</v>
      </c>
      <c r="M66" s="61" t="s">
        <v>32</v>
      </c>
      <c r="N66" s="62">
        <f t="shared" si="14"/>
        <v>0</v>
      </c>
      <c r="O66" s="62" cm="1">
        <f t="array" ref="O66">SUMPRODUCT(--(O60:O65))</f>
        <v>5</v>
      </c>
      <c r="P66" s="64" cm="1">
        <f t="array" ref="P66">SUMPRODUCT(--(P60:P65))</f>
        <v>293</v>
      </c>
      <c r="Q66" s="64">
        <f>SUM(Q60:Q65)</f>
        <v>1</v>
      </c>
      <c r="R66" s="64">
        <f>SUM(R60:R65)</f>
        <v>0</v>
      </c>
      <c r="T66" s="79"/>
    </row>
    <row r="67" spans="1:16" s="3" customFormat="true">
      <c r="A67" s="4"/>
      <c r="B67" s="4"/>
      <c r="C67" s="31"/>
      <c r="D67" s="31"/>
      <c r="E67" s="31"/>
      <c r="F67" s="31"/>
      <c r="G67" s="31"/>
      <c r="H67" s="31"/>
      <c r="I67" s="65"/>
      <c r="J67" s="31"/>
      <c r="K67" s="65"/>
      <c r="L67" s="65"/>
      <c r="M67" s="31"/>
      <c r="N67" s="65"/>
      <c r="O67" s="65"/>
      <c r="P67" s="65"/>
    </row>
    <row r="68" spans="1:20" s="1" customFormat="true" ht="10.95" customHeight="true">
      <c r="A68" s="7" t="s">
        <v>3</v>
      </c>
      <c r="B68" s="30" t="s">
        <v>4</v>
      </c>
      <c r="C68" s="30" t="s">
        <v>55</v>
      </c>
      <c r="D68" s="30" t="s">
        <v>6</v>
      </c>
      <c r="E68" s="30" t="s">
        <v>7</v>
      </c>
      <c r="F68" s="30" t="s">
        <v>8</v>
      </c>
      <c r="G68" s="30" t="s">
        <v>9</v>
      </c>
      <c r="H68" s="30"/>
      <c r="I68" s="7" t="s">
        <v>10</v>
      </c>
      <c r="J68" s="7" t="s">
        <v>11</v>
      </c>
      <c r="K68" s="8" t="s">
        <v>12</v>
      </c>
      <c r="L68" s="9"/>
      <c r="M68" s="7" t="s">
        <v>11</v>
      </c>
      <c r="N68" s="52" t="s">
        <v>13</v>
      </c>
      <c r="O68" s="52"/>
      <c r="P68" s="9"/>
      <c r="Q68" s="9" t="s">
        <v>14</v>
      </c>
      <c r="R68" s="9" t="s">
        <v>15</v>
      </c>
      <c r="T68" s="78"/>
    </row>
    <row r="69" spans="1:20" s="1" customFormat="true" ht="16.05" customHeight="true">
      <c r="A69" s="10"/>
      <c r="B69" s="30"/>
      <c r="C69" s="30"/>
      <c r="D69" s="30"/>
      <c r="E69" s="30"/>
      <c r="F69" s="30"/>
      <c r="G69" s="30"/>
      <c r="H69" s="30"/>
      <c r="I69" s="10"/>
      <c r="J69" s="10"/>
      <c r="K69" s="14"/>
      <c r="L69" s="15"/>
      <c r="M69" s="10"/>
      <c r="N69" s="53"/>
      <c r="O69" s="53"/>
      <c r="P69" s="15"/>
      <c r="Q69" s="15"/>
      <c r="R69" s="15"/>
      <c r="T69" s="78"/>
    </row>
    <row r="70" spans="1:20" s="1" customFormat="true" ht="17.4">
      <c r="A70" s="13"/>
      <c r="B70" s="30"/>
      <c r="C70" s="30"/>
      <c r="D70" s="30"/>
      <c r="E70" s="30"/>
      <c r="F70" s="30"/>
      <c r="G70" s="30"/>
      <c r="H70" s="30"/>
      <c r="I70" s="13"/>
      <c r="J70" s="13"/>
      <c r="K70" s="54" t="s">
        <v>16</v>
      </c>
      <c r="L70" s="55" t="s">
        <v>17</v>
      </c>
      <c r="M70" s="13"/>
      <c r="N70" s="55" t="s">
        <v>18</v>
      </c>
      <c r="O70" s="55" t="s">
        <v>19</v>
      </c>
      <c r="P70" s="55" t="s">
        <v>20</v>
      </c>
      <c r="Q70" s="55" t="s">
        <v>21</v>
      </c>
      <c r="R70" s="55" t="s">
        <v>22</v>
      </c>
      <c r="T70" s="78"/>
    </row>
    <row r="71" spans="1:20" s="2" customFormat="true" ht="13.95" customHeight="true">
      <c r="A71" s="16">
        <v>7</v>
      </c>
      <c r="B71" s="17" t="str">
        <f>=DISPIMG("ID_74E2A9C1F36F487185DEC02660EB9273",1)</f>
        <v>=DISPIMG("ID_74E2A9C1F36F487185DEC02660EB9273",1)</v>
      </c>
      <c r="C71" s="18" t="s">
        <v>78</v>
      </c>
      <c r="D71" s="18" t="s">
        <v>70</v>
      </c>
      <c r="E71" s="19"/>
      <c r="F71" s="19"/>
      <c r="G71" s="20" t="s">
        <v>42</v>
      </c>
      <c r="H71" s="21" t="str">
        <f>=DISPIMG("ID_6FA343753CA645F3B0D6DFCC9F76CC45",1)</f>
        <v>=DISPIMG("ID_6FA343753CA645F3B0D6DFCC9F76CC45",1)</v>
      </c>
      <c r="I71" s="56">
        <v>18</v>
      </c>
      <c r="J71" s="57" t="s">
        <v>26</v>
      </c>
      <c r="K71" s="23">
        <v>127</v>
      </c>
      <c r="L71" s="58">
        <f>I71*K71</f>
        <v>2286</v>
      </c>
      <c r="M71" s="57" t="s">
        <v>26</v>
      </c>
      <c r="N71" s="23">
        <v>1</v>
      </c>
      <c r="O71" s="23">
        <v>128</v>
      </c>
      <c r="P71" s="23">
        <f t="shared" ref="P71:P76" si="15">MAX(0,K71-O71)</f>
        <v>0</v>
      </c>
      <c r="Q71" s="23">
        <v>16</v>
      </c>
      <c r="R71" s="23"/>
      <c r="T71" s="79"/>
    </row>
    <row r="72" spans="1:20" s="2" customFormat="true">
      <c r="A72" s="16"/>
      <c r="B72" s="16"/>
      <c r="C72" s="22"/>
      <c r="D72" s="22"/>
      <c r="E72" s="23"/>
      <c r="F72" s="23"/>
      <c r="G72" s="20"/>
      <c r="H72" s="21"/>
      <c r="I72" s="59"/>
      <c r="J72" s="57" t="s">
        <v>27</v>
      </c>
      <c r="K72" s="23">
        <v>255</v>
      </c>
      <c r="L72" s="58">
        <f>I71*K72</f>
        <v>4590</v>
      </c>
      <c r="M72" s="57" t="s">
        <v>27</v>
      </c>
      <c r="N72" s="23">
        <v>0</v>
      </c>
      <c r="O72" s="23">
        <v>259</v>
      </c>
      <c r="P72" s="23">
        <f t="shared" si="15"/>
        <v>0</v>
      </c>
      <c r="Q72" s="23">
        <v>31</v>
      </c>
      <c r="R72" s="23"/>
      <c r="T72" s="79"/>
    </row>
    <row r="73" spans="1:20" s="2" customFormat="true">
      <c r="A73" s="16"/>
      <c r="B73" s="16"/>
      <c r="C73" s="22"/>
      <c r="D73" s="22"/>
      <c r="E73" s="23"/>
      <c r="F73" s="23"/>
      <c r="G73" s="20"/>
      <c r="H73" s="21"/>
      <c r="I73" s="59"/>
      <c r="J73" s="57" t="s">
        <v>28</v>
      </c>
      <c r="K73" s="23">
        <v>280</v>
      </c>
      <c r="L73" s="58">
        <f>I71*K73</f>
        <v>5040</v>
      </c>
      <c r="M73" s="57" t="s">
        <v>28</v>
      </c>
      <c r="N73" s="23">
        <v>1</v>
      </c>
      <c r="O73" s="23">
        <v>243</v>
      </c>
      <c r="P73" s="23">
        <f t="shared" si="15"/>
        <v>37</v>
      </c>
      <c r="Q73" s="23">
        <v>39</v>
      </c>
      <c r="R73" s="23"/>
      <c r="T73" s="79"/>
    </row>
    <row r="74" spans="1:20" s="2" customFormat="true">
      <c r="A74" s="16"/>
      <c r="B74" s="16"/>
      <c r="C74" s="22"/>
      <c r="D74" s="22"/>
      <c r="E74" s="23"/>
      <c r="F74" s="23"/>
      <c r="G74" s="20"/>
      <c r="H74" s="21"/>
      <c r="I74" s="59"/>
      <c r="J74" s="57" t="s">
        <v>29</v>
      </c>
      <c r="K74" s="23">
        <v>222</v>
      </c>
      <c r="L74" s="58">
        <f>I71*K74</f>
        <v>3996</v>
      </c>
      <c r="M74" s="57" t="s">
        <v>29</v>
      </c>
      <c r="N74" s="23">
        <v>0</v>
      </c>
      <c r="O74" s="23">
        <v>112</v>
      </c>
      <c r="P74" s="23">
        <f t="shared" si="15"/>
        <v>110</v>
      </c>
      <c r="Q74" s="23">
        <v>14</v>
      </c>
      <c r="R74" s="23"/>
      <c r="T74" s="79"/>
    </row>
    <row r="75" spans="1:20" s="2" customFormat="true">
      <c r="A75" s="16"/>
      <c r="B75" s="16"/>
      <c r="C75" s="22"/>
      <c r="D75" s="22"/>
      <c r="E75" s="23"/>
      <c r="F75" s="23"/>
      <c r="G75" s="20"/>
      <c r="H75" s="21"/>
      <c r="I75" s="59"/>
      <c r="J75" s="57" t="s">
        <v>30</v>
      </c>
      <c r="K75" s="23">
        <v>203</v>
      </c>
      <c r="L75" s="58">
        <f>I71*K75</f>
        <v>3654</v>
      </c>
      <c r="M75" s="57" t="s">
        <v>30</v>
      </c>
      <c r="N75" s="23">
        <v>0</v>
      </c>
      <c r="O75" s="23">
        <v>63</v>
      </c>
      <c r="P75" s="23">
        <f t="shared" si="15"/>
        <v>140</v>
      </c>
      <c r="Q75" s="23">
        <v>14</v>
      </c>
      <c r="R75" s="23"/>
      <c r="T75" s="79"/>
    </row>
    <row r="76" spans="1:20" s="2" customFormat="true">
      <c r="A76" s="16"/>
      <c r="B76" s="16"/>
      <c r="C76" s="22"/>
      <c r="D76" s="22"/>
      <c r="E76" s="23"/>
      <c r="F76" s="23"/>
      <c r="G76" s="20"/>
      <c r="H76" s="21"/>
      <c r="I76" s="60"/>
      <c r="J76" s="23" t="s">
        <v>31</v>
      </c>
      <c r="K76" s="23">
        <v>97</v>
      </c>
      <c r="L76" s="58">
        <f>I71*K76</f>
        <v>1746</v>
      </c>
      <c r="M76" s="23" t="s">
        <v>31</v>
      </c>
      <c r="N76" s="23">
        <v>0</v>
      </c>
      <c r="O76" s="23">
        <v>27</v>
      </c>
      <c r="P76" s="23">
        <f t="shared" si="15"/>
        <v>70</v>
      </c>
      <c r="Q76" s="23">
        <v>4</v>
      </c>
      <c r="R76" s="23"/>
      <c r="T76" s="79"/>
    </row>
    <row r="77" spans="1:20" s="2" customFormat="true">
      <c r="A77" s="24"/>
      <c r="B77" s="24"/>
      <c r="C77" s="25"/>
      <c r="D77" s="25"/>
      <c r="E77" s="23"/>
      <c r="F77" s="23"/>
      <c r="G77" s="26"/>
      <c r="H77" s="27"/>
      <c r="I77" s="62"/>
      <c r="J77" s="61" t="s">
        <v>32</v>
      </c>
      <c r="K77" s="62">
        <f t="shared" ref="K77:N77" si="16">SUM(K71:K76)</f>
        <v>1184</v>
      </c>
      <c r="L77" s="63">
        <f t="shared" si="16"/>
        <v>21312</v>
      </c>
      <c r="M77" s="61" t="s">
        <v>32</v>
      </c>
      <c r="N77" s="62">
        <f t="shared" si="16"/>
        <v>2</v>
      </c>
      <c r="O77" s="62" cm="1">
        <f t="array" ref="O77">SUMPRODUCT(--(O71:O76))</f>
        <v>832</v>
      </c>
      <c r="P77" s="64" cm="1">
        <f t="array" ref="P77">SUMPRODUCT(--(P71:P76))</f>
        <v>357</v>
      </c>
      <c r="Q77" s="64">
        <f>SUM(Q71:Q76)</f>
        <v>118</v>
      </c>
      <c r="R77" s="64">
        <f>SUM(R71:R76)</f>
        <v>0</v>
      </c>
      <c r="T77" s="79"/>
    </row>
    <row r="78" spans="1:16" s="3" customFormat="true">
      <c r="A78" s="4"/>
      <c r="B78" s="4"/>
      <c r="C78" s="31"/>
      <c r="D78" s="31"/>
      <c r="E78" s="31"/>
      <c r="F78" s="31"/>
      <c r="G78" s="31"/>
      <c r="H78" s="31"/>
      <c r="I78" s="65"/>
      <c r="J78" s="31"/>
      <c r="K78" s="65"/>
      <c r="L78" s="65"/>
      <c r="M78" s="31"/>
      <c r="N78" s="65"/>
      <c r="O78" s="65"/>
      <c r="P78" s="65"/>
    </row>
    <row r="79" spans="1:20" s="1" customFormat="true" ht="10.95" customHeight="true">
      <c r="A79" s="7" t="s">
        <v>3</v>
      </c>
      <c r="B79" s="30" t="s">
        <v>4</v>
      </c>
      <c r="C79" s="30" t="s">
        <v>55</v>
      </c>
      <c r="D79" s="30" t="s">
        <v>6</v>
      </c>
      <c r="E79" s="30" t="s">
        <v>7</v>
      </c>
      <c r="F79" s="30" t="s">
        <v>8</v>
      </c>
      <c r="G79" s="30" t="s">
        <v>9</v>
      </c>
      <c r="H79" s="30"/>
      <c r="I79" s="7" t="s">
        <v>10</v>
      </c>
      <c r="J79" s="7" t="s">
        <v>11</v>
      </c>
      <c r="K79" s="8" t="s">
        <v>12</v>
      </c>
      <c r="L79" s="9"/>
      <c r="M79" s="7" t="s">
        <v>11</v>
      </c>
      <c r="N79" s="52" t="s">
        <v>13</v>
      </c>
      <c r="O79" s="52"/>
      <c r="P79" s="9"/>
      <c r="Q79" s="9" t="s">
        <v>14</v>
      </c>
      <c r="R79" s="9" t="s">
        <v>15</v>
      </c>
      <c r="T79" s="78"/>
    </row>
    <row r="80" spans="1:20" s="1" customFormat="true" ht="16.05" customHeight="true">
      <c r="A80" s="10"/>
      <c r="B80" s="30"/>
      <c r="C80" s="30"/>
      <c r="D80" s="30"/>
      <c r="E80" s="30"/>
      <c r="F80" s="30"/>
      <c r="G80" s="30"/>
      <c r="H80" s="30"/>
      <c r="I80" s="10"/>
      <c r="J80" s="10"/>
      <c r="K80" s="14"/>
      <c r="L80" s="15"/>
      <c r="M80" s="10"/>
      <c r="N80" s="53"/>
      <c r="O80" s="53"/>
      <c r="P80" s="15"/>
      <c r="Q80" s="15"/>
      <c r="R80" s="15"/>
      <c r="T80" s="78"/>
    </row>
    <row r="81" spans="1:20" s="1" customFormat="true" ht="17.4">
      <c r="A81" s="13"/>
      <c r="B81" s="30"/>
      <c r="C81" s="30"/>
      <c r="D81" s="30"/>
      <c r="E81" s="30"/>
      <c r="F81" s="30"/>
      <c r="G81" s="30"/>
      <c r="H81" s="30"/>
      <c r="I81" s="13"/>
      <c r="J81" s="13"/>
      <c r="K81" s="54" t="s">
        <v>16</v>
      </c>
      <c r="L81" s="55" t="s">
        <v>17</v>
      </c>
      <c r="M81" s="13"/>
      <c r="N81" s="55" t="s">
        <v>18</v>
      </c>
      <c r="O81" s="55" t="s">
        <v>19</v>
      </c>
      <c r="P81" s="55" t="s">
        <v>20</v>
      </c>
      <c r="Q81" s="55" t="s">
        <v>21</v>
      </c>
      <c r="R81" s="55" t="s">
        <v>22</v>
      </c>
      <c r="T81" s="78"/>
    </row>
    <row r="82" spans="1:20" s="2" customFormat="true" ht="13.95" customHeight="true">
      <c r="A82" s="16">
        <v>8</v>
      </c>
      <c r="B82" s="17" t="str">
        <f>=DISPIMG("ID_9FCEB2B2CADF4451B8E1832A9FC8DE9C",1)</f>
        <v>=DISPIMG("ID_9FCEB2B2CADF4451B8E1832A9FC8DE9C",1)</v>
      </c>
      <c r="C82" s="18" t="s">
        <v>79</v>
      </c>
      <c r="D82" s="18" t="s">
        <v>70</v>
      </c>
      <c r="E82" s="19"/>
      <c r="F82" s="19"/>
      <c r="G82" s="20" t="s">
        <v>44</v>
      </c>
      <c r="H82" s="21" t="str">
        <f>=DISPIMG("ID_FFFAD574B3A04438A3D8300499A11403",1)</f>
        <v>=DISPIMG("ID_FFFAD574B3A04438A3D8300499A11403",1)</v>
      </c>
      <c r="I82" s="56">
        <v>18</v>
      </c>
      <c r="J82" s="57" t="s">
        <v>26</v>
      </c>
      <c r="K82" s="23">
        <v>120</v>
      </c>
      <c r="L82" s="58">
        <f>I82*K82</f>
        <v>2160</v>
      </c>
      <c r="M82" s="57" t="s">
        <v>26</v>
      </c>
      <c r="N82" s="23">
        <v>0</v>
      </c>
      <c r="O82" s="23">
        <v>15</v>
      </c>
      <c r="P82" s="23">
        <f t="shared" ref="P82:P87" si="17">MAX(0,K82-O82)</f>
        <v>105</v>
      </c>
      <c r="Q82" s="23">
        <v>1</v>
      </c>
      <c r="R82" s="23"/>
      <c r="T82" s="79"/>
    </row>
    <row r="83" spans="1:20" s="2" customFormat="true">
      <c r="A83" s="16"/>
      <c r="B83" s="16"/>
      <c r="C83" s="22"/>
      <c r="D83" s="22"/>
      <c r="E83" s="23"/>
      <c r="F83" s="23"/>
      <c r="G83" s="20"/>
      <c r="H83" s="21"/>
      <c r="I83" s="59"/>
      <c r="J83" s="57" t="s">
        <v>27</v>
      </c>
      <c r="K83" s="23">
        <v>271</v>
      </c>
      <c r="L83" s="58">
        <f>I82*K83</f>
        <v>4878</v>
      </c>
      <c r="M83" s="57" t="s">
        <v>27</v>
      </c>
      <c r="N83" s="23">
        <v>0</v>
      </c>
      <c r="O83" s="23">
        <v>32</v>
      </c>
      <c r="P83" s="23">
        <f t="shared" si="17"/>
        <v>239</v>
      </c>
      <c r="Q83" s="23">
        <v>6</v>
      </c>
      <c r="R83" s="23"/>
      <c r="T83" s="79"/>
    </row>
    <row r="84" spans="1:20" s="2" customFormat="true">
      <c r="A84" s="16"/>
      <c r="B84" s="16"/>
      <c r="C84" s="22"/>
      <c r="D84" s="22"/>
      <c r="E84" s="23"/>
      <c r="F84" s="23"/>
      <c r="G84" s="20"/>
      <c r="H84" s="21"/>
      <c r="I84" s="59"/>
      <c r="J84" s="57" t="s">
        <v>28</v>
      </c>
      <c r="K84" s="23">
        <v>280</v>
      </c>
      <c r="L84" s="58">
        <f>I82*K84</f>
        <v>5040</v>
      </c>
      <c r="M84" s="57" t="s">
        <v>28</v>
      </c>
      <c r="N84" s="23">
        <v>0</v>
      </c>
      <c r="O84" s="23">
        <v>24</v>
      </c>
      <c r="P84" s="23">
        <f t="shared" si="17"/>
        <v>256</v>
      </c>
      <c r="Q84" s="23">
        <v>11</v>
      </c>
      <c r="R84" s="23"/>
      <c r="T84" s="79"/>
    </row>
    <row r="85" spans="1:20" s="2" customFormat="true">
      <c r="A85" s="16"/>
      <c r="B85" s="16"/>
      <c r="C85" s="22"/>
      <c r="D85" s="22"/>
      <c r="E85" s="23"/>
      <c r="F85" s="23"/>
      <c r="G85" s="20"/>
      <c r="H85" s="21"/>
      <c r="I85" s="59"/>
      <c r="J85" s="57" t="s">
        <v>29</v>
      </c>
      <c r="K85" s="23">
        <v>233</v>
      </c>
      <c r="L85" s="58">
        <f>I82*K85</f>
        <v>4194</v>
      </c>
      <c r="M85" s="57" t="s">
        <v>29</v>
      </c>
      <c r="N85" s="23">
        <v>0</v>
      </c>
      <c r="O85" s="23">
        <v>14</v>
      </c>
      <c r="P85" s="23">
        <f t="shared" si="17"/>
        <v>219</v>
      </c>
      <c r="Q85" s="23">
        <v>6</v>
      </c>
      <c r="R85" s="23"/>
      <c r="T85" s="79"/>
    </row>
    <row r="86" spans="1:20" s="2" customFormat="true">
      <c r="A86" s="16"/>
      <c r="B86" s="16"/>
      <c r="C86" s="22"/>
      <c r="D86" s="22"/>
      <c r="E86" s="23"/>
      <c r="F86" s="23"/>
      <c r="G86" s="20"/>
      <c r="H86" s="21"/>
      <c r="I86" s="59"/>
      <c r="J86" s="57" t="s">
        <v>30</v>
      </c>
      <c r="K86" s="23">
        <v>213</v>
      </c>
      <c r="L86" s="58">
        <f>I82*K86</f>
        <v>3834</v>
      </c>
      <c r="M86" s="57" t="s">
        <v>30</v>
      </c>
      <c r="N86" s="23">
        <v>0</v>
      </c>
      <c r="O86" s="23">
        <v>6</v>
      </c>
      <c r="P86" s="23">
        <f t="shared" si="17"/>
        <v>207</v>
      </c>
      <c r="Q86" s="23">
        <v>1</v>
      </c>
      <c r="R86" s="23"/>
      <c r="T86" s="79"/>
    </row>
    <row r="87" spans="1:20" s="2" customFormat="true">
      <c r="A87" s="16"/>
      <c r="B87" s="16"/>
      <c r="C87" s="22"/>
      <c r="D87" s="22"/>
      <c r="E87" s="23"/>
      <c r="F87" s="23"/>
      <c r="G87" s="20"/>
      <c r="H87" s="21"/>
      <c r="I87" s="60"/>
      <c r="J87" s="23" t="s">
        <v>31</v>
      </c>
      <c r="K87" s="23">
        <v>102</v>
      </c>
      <c r="L87" s="58">
        <f>I82*K87</f>
        <v>1836</v>
      </c>
      <c r="M87" s="23" t="s">
        <v>31</v>
      </c>
      <c r="N87" s="23">
        <v>1</v>
      </c>
      <c r="O87" s="23">
        <v>9</v>
      </c>
      <c r="P87" s="23">
        <f t="shared" si="17"/>
        <v>93</v>
      </c>
      <c r="Q87" s="23">
        <v>0</v>
      </c>
      <c r="R87" s="23"/>
      <c r="T87" s="79"/>
    </row>
    <row r="88" spans="1:20" s="2" customFormat="true">
      <c r="A88" s="24"/>
      <c r="B88" s="24"/>
      <c r="C88" s="25"/>
      <c r="D88" s="25"/>
      <c r="E88" s="23"/>
      <c r="F88" s="23"/>
      <c r="G88" s="26"/>
      <c r="H88" s="27"/>
      <c r="I88" s="62"/>
      <c r="J88" s="61" t="s">
        <v>32</v>
      </c>
      <c r="K88" s="62">
        <f t="shared" ref="K88:N88" si="18">SUM(K82:K87)</f>
        <v>1219</v>
      </c>
      <c r="L88" s="63">
        <f t="shared" si="18"/>
        <v>21942</v>
      </c>
      <c r="M88" s="61" t="s">
        <v>32</v>
      </c>
      <c r="N88" s="62">
        <f t="shared" si="18"/>
        <v>1</v>
      </c>
      <c r="O88" s="62" cm="1">
        <f t="array" ref="O88">SUMPRODUCT(--(O82:O87))</f>
        <v>100</v>
      </c>
      <c r="P88" s="64" cm="1">
        <f t="array" ref="P88">SUMPRODUCT(--(P82:P87))</f>
        <v>1119</v>
      </c>
      <c r="Q88" s="64">
        <f>SUM(Q82:Q87)</f>
        <v>25</v>
      </c>
      <c r="R88" s="64">
        <f>SUM(R82:R87)</f>
        <v>0</v>
      </c>
      <c r="T88" s="79"/>
    </row>
    <row r="89" spans="1:16" s="3" customFormat="true">
      <c r="A89" s="4"/>
      <c r="B89" s="4"/>
      <c r="C89" s="31"/>
      <c r="D89" s="31"/>
      <c r="E89" s="31"/>
      <c r="F89" s="31"/>
      <c r="G89" s="31"/>
      <c r="H89" s="31"/>
      <c r="I89" s="65"/>
      <c r="J89" s="31"/>
      <c r="K89" s="65"/>
      <c r="L89" s="65"/>
      <c r="M89" s="31"/>
      <c r="N89" s="65"/>
      <c r="O89" s="65"/>
      <c r="P89" s="65"/>
    </row>
    <row r="90"/>
    <row r="91" spans="1:14" ht="46" customHeight="true">
      <c r="A91" s="32" t="s">
        <v>45</v>
      </c>
      <c r="B91" s="33"/>
      <c r="C91" s="35" t="s">
        <v>55</v>
      </c>
      <c r="D91" s="35" t="s">
        <v>6</v>
      </c>
      <c r="E91" s="35" t="s">
        <v>7</v>
      </c>
      <c r="F91" s="35" t="s">
        <v>8</v>
      </c>
      <c r="G91" s="32" t="s">
        <v>9</v>
      </c>
      <c r="H91" s="33"/>
      <c r="I91" s="34" t="s">
        <v>46</v>
      </c>
      <c r="J91" s="34" t="s">
        <v>47</v>
      </c>
      <c r="K91" s="66" t="s">
        <v>48</v>
      </c>
      <c r="L91" s="67"/>
      <c r="M91" s="32" t="s">
        <v>49</v>
      </c>
      <c r="N91" s="33"/>
    </row>
    <row r="92" spans="1:14" ht="25.05" customHeight="true">
      <c r="A92" s="36" t="s">
        <v>50</v>
      </c>
      <c r="B92" s="37"/>
      <c r="C92" s="18" t="s">
        <v>80</v>
      </c>
      <c r="D92" s="18" t="s">
        <v>70</v>
      </c>
      <c r="E92" s="38"/>
      <c r="F92" s="38"/>
      <c r="G92" s="39" t="s">
        <v>81</v>
      </c>
      <c r="H92" s="40"/>
      <c r="I92" s="68" t="str">
        <f>SUM(K11,K22,K33,K44,K55,K66,K77,K88)&amp;"件"</f>
        <v>6052件</v>
      </c>
      <c r="J92" s="68" t="str">
        <f>SUM(O11,O22,O33,O44,O55,O66,O77,O88)&amp;"件"</f>
        <v>1312件</v>
      </c>
      <c r="K92" s="69" t="str">
        <f>SUM(P22,P33,P44,P55,P66,P77,P88)&amp;"件"</f>
        <v>4122件</v>
      </c>
      <c r="L92" s="70"/>
      <c r="M92" s="71"/>
      <c r="N92" s="70"/>
    </row>
    <row r="93" spans="1:14" ht="25.05" customHeight="true">
      <c r="A93" s="41"/>
      <c r="B93" s="42"/>
      <c r="C93" s="22"/>
      <c r="D93" s="22"/>
      <c r="E93" s="43"/>
      <c r="F93" s="43"/>
      <c r="G93" s="44"/>
      <c r="H93" s="45"/>
      <c r="I93" s="16"/>
      <c r="J93" s="16"/>
      <c r="K93" s="72"/>
      <c r="L93" s="73"/>
      <c r="M93" s="74"/>
      <c r="N93" s="73"/>
    </row>
    <row r="94" spans="1:14">
      <c r="A94" s="41"/>
      <c r="B94" s="42"/>
      <c r="C94" s="22"/>
      <c r="D94" s="22"/>
      <c r="E94" s="43"/>
      <c r="F94" s="43"/>
      <c r="G94" s="44"/>
      <c r="H94" s="45"/>
      <c r="I94" s="16"/>
      <c r="J94" s="16"/>
      <c r="K94" s="72"/>
      <c r="L94" s="73"/>
      <c r="M94" s="74"/>
      <c r="N94" s="73"/>
    </row>
    <row r="95" spans="1:14">
      <c r="A95" s="41"/>
      <c r="B95" s="42"/>
      <c r="C95" s="22"/>
      <c r="D95" s="22"/>
      <c r="E95" s="43"/>
      <c r="F95" s="43"/>
      <c r="G95" s="44"/>
      <c r="H95" s="45"/>
      <c r="I95" s="16"/>
      <c r="J95" s="16"/>
      <c r="K95" s="72"/>
      <c r="L95" s="73"/>
      <c r="M95" s="74"/>
      <c r="N95" s="73"/>
    </row>
    <row r="96" spans="1:14">
      <c r="A96" s="41"/>
      <c r="B96" s="42"/>
      <c r="C96" s="22"/>
      <c r="D96" s="22"/>
      <c r="E96" s="43"/>
      <c r="F96" s="43"/>
      <c r="G96" s="44"/>
      <c r="H96" s="45"/>
      <c r="I96" s="16"/>
      <c r="J96" s="16"/>
      <c r="K96" s="72"/>
      <c r="L96" s="73"/>
      <c r="M96" s="74"/>
      <c r="N96" s="73"/>
    </row>
    <row r="97" spans="1:14" customHeight="true">
      <c r="A97" s="41"/>
      <c r="B97" s="42"/>
      <c r="C97" s="22"/>
      <c r="D97" s="22"/>
      <c r="E97" s="43"/>
      <c r="F97" s="43"/>
      <c r="G97" s="44"/>
      <c r="H97" s="45"/>
      <c r="I97" s="16"/>
      <c r="J97" s="16"/>
      <c r="K97" s="72"/>
      <c r="L97" s="73"/>
      <c r="M97" s="74"/>
      <c r="N97" s="73"/>
    </row>
    <row r="98" spans="1:14">
      <c r="A98" s="46"/>
      <c r="B98" s="47"/>
      <c r="C98" s="25"/>
      <c r="D98" s="25"/>
      <c r="E98" s="48"/>
      <c r="F98" s="48"/>
      <c r="G98" s="49"/>
      <c r="H98" s="50"/>
      <c r="I98" s="24"/>
      <c r="J98" s="24"/>
      <c r="K98" s="75"/>
      <c r="L98" s="76"/>
      <c r="M98" s="77"/>
      <c r="N98" s="76"/>
    </row>
  </sheetData>
  <mergeCells count="206">
    <mergeCell ref="A1:L1"/>
    <mergeCell ref="M1:O1"/>
    <mergeCell ref="P1:R1"/>
    <mergeCell ref="A12:P12"/>
    <mergeCell ref="A23:P23"/>
    <mergeCell ref="A34:P34"/>
    <mergeCell ref="A45:P45"/>
    <mergeCell ref="A56:P56"/>
    <mergeCell ref="A91:B91"/>
    <mergeCell ref="G91:H91"/>
    <mergeCell ref="K91:L91"/>
    <mergeCell ref="M91:N91"/>
    <mergeCell ref="A2:A4"/>
    <mergeCell ref="A5:A11"/>
    <mergeCell ref="A13:A15"/>
    <mergeCell ref="A16:A22"/>
    <mergeCell ref="A24:A26"/>
    <mergeCell ref="A27:A33"/>
    <mergeCell ref="A35:A37"/>
    <mergeCell ref="A38:A44"/>
    <mergeCell ref="A46:A48"/>
    <mergeCell ref="A49:A55"/>
    <mergeCell ref="A57:A59"/>
    <mergeCell ref="A60:A66"/>
    <mergeCell ref="A68:A70"/>
    <mergeCell ref="A71:A77"/>
    <mergeCell ref="A79:A81"/>
    <mergeCell ref="A82:A88"/>
    <mergeCell ref="B2:B4"/>
    <mergeCell ref="B5:B11"/>
    <mergeCell ref="B13:B15"/>
    <mergeCell ref="B16:B22"/>
    <mergeCell ref="B24:B26"/>
    <mergeCell ref="B27:B33"/>
    <mergeCell ref="B35:B37"/>
    <mergeCell ref="B38:B44"/>
    <mergeCell ref="B46:B48"/>
    <mergeCell ref="B49:B55"/>
    <mergeCell ref="B57:B59"/>
    <mergeCell ref="B60:B66"/>
    <mergeCell ref="B68:B70"/>
    <mergeCell ref="B71:B77"/>
    <mergeCell ref="B79:B81"/>
    <mergeCell ref="B82:B88"/>
    <mergeCell ref="C2:C4"/>
    <mergeCell ref="C5:C11"/>
    <mergeCell ref="C13:C15"/>
    <mergeCell ref="C16:C22"/>
    <mergeCell ref="C24:C26"/>
    <mergeCell ref="C27:C33"/>
    <mergeCell ref="C35:C37"/>
    <mergeCell ref="C38:C44"/>
    <mergeCell ref="C46:C48"/>
    <mergeCell ref="C49:C55"/>
    <mergeCell ref="C57:C59"/>
    <mergeCell ref="C60:C66"/>
    <mergeCell ref="C68:C70"/>
    <mergeCell ref="C71:C77"/>
    <mergeCell ref="C79:C81"/>
    <mergeCell ref="C82:C88"/>
    <mergeCell ref="C92:C98"/>
    <mergeCell ref="D2:D4"/>
    <mergeCell ref="D5:D11"/>
    <mergeCell ref="D13:D15"/>
    <mergeCell ref="D16:D22"/>
    <mergeCell ref="D24:D26"/>
    <mergeCell ref="D27:D33"/>
    <mergeCell ref="D35:D37"/>
    <mergeCell ref="D38:D44"/>
    <mergeCell ref="D46:D48"/>
    <mergeCell ref="D49:D55"/>
    <mergeCell ref="D57:D59"/>
    <mergeCell ref="D60:D66"/>
    <mergeCell ref="D68:D70"/>
    <mergeCell ref="D71:D77"/>
    <mergeCell ref="D79:D81"/>
    <mergeCell ref="D82:D88"/>
    <mergeCell ref="D92:D98"/>
    <mergeCell ref="E2:E4"/>
    <mergeCell ref="E5:E11"/>
    <mergeCell ref="E13:E15"/>
    <mergeCell ref="E16:E22"/>
    <mergeCell ref="E24:E26"/>
    <mergeCell ref="E27:E33"/>
    <mergeCell ref="E35:E37"/>
    <mergeCell ref="E38:E44"/>
    <mergeCell ref="E46:E48"/>
    <mergeCell ref="E49:E55"/>
    <mergeCell ref="E57:E59"/>
    <mergeCell ref="E60:E66"/>
    <mergeCell ref="E68:E70"/>
    <mergeCell ref="E71:E77"/>
    <mergeCell ref="E79:E81"/>
    <mergeCell ref="E82:E88"/>
    <mergeCell ref="E92:E98"/>
    <mergeCell ref="F2:F4"/>
    <mergeCell ref="F5:F11"/>
    <mergeCell ref="F13:F15"/>
    <mergeCell ref="F16:F22"/>
    <mergeCell ref="F24:F26"/>
    <mergeCell ref="F27:F33"/>
    <mergeCell ref="F35:F37"/>
    <mergeCell ref="F38:F44"/>
    <mergeCell ref="F46:F48"/>
    <mergeCell ref="F49:F55"/>
    <mergeCell ref="F57:F59"/>
    <mergeCell ref="F60:F66"/>
    <mergeCell ref="F68:F70"/>
    <mergeCell ref="F71:F77"/>
    <mergeCell ref="F79:F81"/>
    <mergeCell ref="F82:F88"/>
    <mergeCell ref="F92:F98"/>
    <mergeCell ref="G5:G11"/>
    <mergeCell ref="G16:G22"/>
    <mergeCell ref="G27:G33"/>
    <mergeCell ref="G38:G44"/>
    <mergeCell ref="G49:G55"/>
    <mergeCell ref="G60:G66"/>
    <mergeCell ref="G71:G77"/>
    <mergeCell ref="G82:G88"/>
    <mergeCell ref="H5:H11"/>
    <mergeCell ref="H16:H22"/>
    <mergeCell ref="H27:H33"/>
    <mergeCell ref="H38:H44"/>
    <mergeCell ref="H49:H55"/>
    <mergeCell ref="H60:H66"/>
    <mergeCell ref="H71:H77"/>
    <mergeCell ref="H82:H88"/>
    <mergeCell ref="I2:I4"/>
    <mergeCell ref="I5:I10"/>
    <mergeCell ref="I13:I15"/>
    <mergeCell ref="I16:I21"/>
    <mergeCell ref="I24:I26"/>
    <mergeCell ref="I27:I32"/>
    <mergeCell ref="I35:I37"/>
    <mergeCell ref="I38:I43"/>
    <mergeCell ref="I46:I48"/>
    <mergeCell ref="I49:I54"/>
    <mergeCell ref="I57:I59"/>
    <mergeCell ref="I60:I65"/>
    <mergeCell ref="I68:I70"/>
    <mergeCell ref="I71:I76"/>
    <mergeCell ref="I79:I81"/>
    <mergeCell ref="I82:I87"/>
    <mergeCell ref="I92:I98"/>
    <mergeCell ref="J2:J4"/>
    <mergeCell ref="J13:J15"/>
    <mergeCell ref="J24:J26"/>
    <mergeCell ref="J35:J37"/>
    <mergeCell ref="J46:J48"/>
    <mergeCell ref="J57:J59"/>
    <mergeCell ref="J68:J70"/>
    <mergeCell ref="J79:J81"/>
    <mergeCell ref="J92:J98"/>
    <mergeCell ref="M2:M4"/>
    <mergeCell ref="M13:M15"/>
    <mergeCell ref="M24:M26"/>
    <mergeCell ref="M35:M37"/>
    <mergeCell ref="M46:M48"/>
    <mergeCell ref="M57:M59"/>
    <mergeCell ref="M68:M70"/>
    <mergeCell ref="M79:M81"/>
    <mergeCell ref="Q2:Q3"/>
    <mergeCell ref="Q13:Q14"/>
    <mergeCell ref="Q24:Q25"/>
    <mergeCell ref="Q35:Q36"/>
    <mergeCell ref="Q46:Q47"/>
    <mergeCell ref="Q57:Q58"/>
    <mergeCell ref="Q68:Q69"/>
    <mergeCell ref="Q79:Q80"/>
    <mergeCell ref="R2:R3"/>
    <mergeCell ref="R13:R14"/>
    <mergeCell ref="R24:R25"/>
    <mergeCell ref="R35:R36"/>
    <mergeCell ref="R46:R47"/>
    <mergeCell ref="R57:R58"/>
    <mergeCell ref="R68:R69"/>
    <mergeCell ref="R79:R80"/>
    <mergeCell ref="G2:H4"/>
    <mergeCell ref="K2:L3"/>
    <mergeCell ref="N2:P3"/>
    <mergeCell ref="G13:H15"/>
    <mergeCell ref="K13:L14"/>
    <mergeCell ref="N13:P14"/>
    <mergeCell ref="G24:H26"/>
    <mergeCell ref="K24:L25"/>
    <mergeCell ref="N24:P25"/>
    <mergeCell ref="G35:H37"/>
    <mergeCell ref="K35:L36"/>
    <mergeCell ref="N35:P36"/>
    <mergeCell ref="G46:H48"/>
    <mergeCell ref="K46:L47"/>
    <mergeCell ref="N46:P47"/>
    <mergeCell ref="G57:H59"/>
    <mergeCell ref="K57:L58"/>
    <mergeCell ref="N57:P58"/>
    <mergeCell ref="G68:H70"/>
    <mergeCell ref="K68:L69"/>
    <mergeCell ref="N68:P69"/>
    <mergeCell ref="G79:H81"/>
    <mergeCell ref="K79:L80"/>
    <mergeCell ref="N79:P80"/>
    <mergeCell ref="A92:B98"/>
    <mergeCell ref="G92:H98"/>
    <mergeCell ref="K92:L98"/>
    <mergeCell ref="M92:N98"/>
  </mergeCells>
  <pageMargins left="0.75" right="0.75" top="1" bottom="1" header="0.5" footer="0.5"/>
  <pageSetup orientation="portrait" paperSize="9"/>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U87"/>
  <sheetViews>
    <sheetView topLeftCell="A11" zoomScale="85" zoomScaleNormal="85" workbookViewId="0">
      <selection activeCell="P39" sqref="P39:P41"/>
    </sheetView>
  </sheetViews>
  <sheetFormatPr defaultColWidth="8.55555555555556" defaultRowHeight="14.4"/>
  <cols>
    <col customWidth="true" max="1" min="1" style="3" width="7"/>
    <col customWidth="true" max="2" min="2" style="3" width="8.77777777777778"/>
    <col customWidth="true" max="3" min="3" style="3" width="18.6388888888889"/>
    <col customWidth="true" max="4" min="4" style="3" width="9.88888888888889"/>
    <col customWidth="true" hidden="true" max="5" min="5" style="3" width="12.7777777777778"/>
    <col customWidth="true" hidden="true" max="6" min="6" style="3" width="12.6666666666667"/>
    <col customWidth="true" max="7" min="7" style="3" width="13.5740740740741"/>
    <col customWidth="true" max="8" min="8" style="3" width="11.5555555555556"/>
    <col customWidth="true" max="9" min="9" style="3" width="13.9444444444444"/>
    <col customWidth="true" max="10" min="10" style="4" width="13.2037037037037"/>
    <col customWidth="true" max="11" min="11" style="3" width="12.5833333333333"/>
    <col customWidth="true" max="12" min="12" style="3" width="15.3055555555556"/>
    <col customWidth="true" max="13" min="13" style="4" width="12.5925925925926"/>
    <col customWidth="true" max="14" min="14" style="3" width="10.8611111111111"/>
    <col customWidth="true" max="15" min="15" style="3" width="11.3518518518519"/>
    <col customWidth="true" max="18" min="16" style="3" width="13.0833333333333"/>
    <col max="16384" min="19" style="3" width="8.55555555555556"/>
  </cols>
  <sheetData>
    <row r="1" spans="1:20" s="1" customFormat="true" ht="58.8" customHeight="true">
      <c r="A1" s="5" t="s">
        <v>82</v>
      </c>
      <c r="B1" s="6"/>
      <c r="C1" s="6"/>
      <c r="D1" s="6"/>
      <c r="E1" s="6"/>
      <c r="F1" s="6"/>
      <c r="G1" s="6"/>
      <c r="H1" s="6"/>
      <c r="I1" s="6"/>
      <c r="J1" s="6"/>
      <c r="K1" s="6"/>
      <c r="L1" s="6"/>
      <c r="M1" s="6" t="s">
        <v>83</v>
      </c>
      <c r="N1" s="6"/>
      <c r="O1" s="6"/>
      <c r="P1" s="51" t="s">
        <v>2</v>
      </c>
      <c r="Q1" s="6"/>
      <c r="R1" s="6"/>
      <c r="T1" s="78"/>
    </row>
    <row r="2" spans="1:20" s="1" customFormat="true" ht="10.95" customHeight="true">
      <c r="A2" s="7" t="s">
        <v>3</v>
      </c>
      <c r="B2" s="7" t="s">
        <v>4</v>
      </c>
      <c r="C2" s="7" t="s">
        <v>55</v>
      </c>
      <c r="D2" s="7" t="s">
        <v>6</v>
      </c>
      <c r="E2" s="7" t="s">
        <v>7</v>
      </c>
      <c r="F2" s="7" t="s">
        <v>8</v>
      </c>
      <c r="G2" s="8" t="s">
        <v>9</v>
      </c>
      <c r="H2" s="9"/>
      <c r="I2" s="7" t="s">
        <v>10</v>
      </c>
      <c r="J2" s="7" t="s">
        <v>11</v>
      </c>
      <c r="K2" s="52" t="s">
        <v>12</v>
      </c>
      <c r="L2" s="9"/>
      <c r="M2" s="7" t="s">
        <v>11</v>
      </c>
      <c r="N2" s="52" t="s">
        <v>13</v>
      </c>
      <c r="O2" s="52"/>
      <c r="P2" s="9"/>
      <c r="Q2" s="9" t="s">
        <v>14</v>
      </c>
      <c r="R2" s="9" t="s">
        <v>15</v>
      </c>
      <c r="T2" s="78"/>
    </row>
    <row r="3" spans="1:20" s="1" customFormat="true" ht="16.05" customHeight="true">
      <c r="A3" s="10"/>
      <c r="B3" s="10"/>
      <c r="C3" s="10"/>
      <c r="D3" s="10"/>
      <c r="E3" s="10"/>
      <c r="F3" s="10"/>
      <c r="G3" s="11"/>
      <c r="H3" s="12"/>
      <c r="I3" s="10"/>
      <c r="J3" s="10"/>
      <c r="K3" s="53"/>
      <c r="L3" s="15"/>
      <c r="M3" s="10"/>
      <c r="N3" s="53"/>
      <c r="O3" s="53"/>
      <c r="P3" s="15"/>
      <c r="Q3" s="15"/>
      <c r="R3" s="15"/>
      <c r="T3" s="78"/>
    </row>
    <row r="4" spans="1:20" s="1" customFormat="true" ht="28.95" customHeight="true">
      <c r="A4" s="13"/>
      <c r="B4" s="13"/>
      <c r="C4" s="13"/>
      <c r="D4" s="13"/>
      <c r="E4" s="13"/>
      <c r="F4" s="13"/>
      <c r="G4" s="14"/>
      <c r="H4" s="15"/>
      <c r="I4" s="13"/>
      <c r="J4" s="13"/>
      <c r="K4" s="54" t="s">
        <v>16</v>
      </c>
      <c r="L4" s="55" t="s">
        <v>17</v>
      </c>
      <c r="M4" s="13"/>
      <c r="N4" s="55" t="s">
        <v>18</v>
      </c>
      <c r="O4" s="55" t="s">
        <v>19</v>
      </c>
      <c r="P4" s="55" t="s">
        <v>20</v>
      </c>
      <c r="Q4" s="55" t="s">
        <v>21</v>
      </c>
      <c r="R4" s="55" t="s">
        <v>22</v>
      </c>
      <c r="T4" s="78"/>
    </row>
    <row r="5" spans="1:20" s="2" customFormat="true" customHeight="true">
      <c r="A5" s="16">
        <v>1</v>
      </c>
      <c r="B5" s="17" t="str">
        <f>=DISPIMG("ID_CE9236E71D544781889115AEFCA8E210",1)</f>
        <v>=DISPIMG("ID_CE9236E71D544781889115AEFCA8E210",1)</v>
      </c>
      <c r="C5" s="18" t="s">
        <v>84</v>
      </c>
      <c r="D5" s="18" t="s">
        <v>85</v>
      </c>
      <c r="E5" s="19"/>
      <c r="F5" s="19"/>
      <c r="G5" s="20" t="s">
        <v>25</v>
      </c>
      <c r="H5" s="21" t="str">
        <f>=DISPIMG("ID_C53A9180E470419EA3D55C8CB613D3A5",1)</f>
        <v>=DISPIMG("ID_C53A9180E470419EA3D55C8CB613D3A5",1)</v>
      </c>
      <c r="I5" s="56">
        <v>17.99</v>
      </c>
      <c r="J5" s="57" t="s">
        <v>26</v>
      </c>
      <c r="K5" s="23">
        <v>128</v>
      </c>
      <c r="L5" s="58">
        <f>I5*K5</f>
        <v>2302.72</v>
      </c>
      <c r="M5" s="57" t="s">
        <v>26</v>
      </c>
      <c r="N5" s="23">
        <v>0</v>
      </c>
      <c r="O5" s="23">
        <v>31</v>
      </c>
      <c r="P5" s="23">
        <f t="shared" ref="P5:P10" si="0">MAX(0,K5-O5)</f>
        <v>97</v>
      </c>
      <c r="Q5" s="23">
        <v>6</v>
      </c>
      <c r="R5" s="23"/>
      <c r="T5" s="79"/>
    </row>
    <row r="6" spans="1:20" s="2" customFormat="true">
      <c r="A6" s="16"/>
      <c r="B6" s="16"/>
      <c r="C6" s="22"/>
      <c r="D6" s="22"/>
      <c r="E6" s="23"/>
      <c r="F6" s="23"/>
      <c r="G6" s="20"/>
      <c r="H6" s="21"/>
      <c r="I6" s="59"/>
      <c r="J6" s="57" t="s">
        <v>27</v>
      </c>
      <c r="K6" s="23">
        <v>135</v>
      </c>
      <c r="L6" s="58">
        <f>I5*K6</f>
        <v>2428.65</v>
      </c>
      <c r="M6" s="57" t="s">
        <v>27</v>
      </c>
      <c r="N6" s="23">
        <v>0</v>
      </c>
      <c r="O6" s="23">
        <v>32</v>
      </c>
      <c r="P6" s="23">
        <f t="shared" si="0"/>
        <v>103</v>
      </c>
      <c r="Q6" s="23">
        <v>7</v>
      </c>
      <c r="R6" s="23"/>
      <c r="T6" s="79"/>
    </row>
    <row r="7" spans="1:20" s="2" customFormat="true">
      <c r="A7" s="16"/>
      <c r="B7" s="16"/>
      <c r="C7" s="22"/>
      <c r="D7" s="22"/>
      <c r="E7" s="23"/>
      <c r="F7" s="23"/>
      <c r="G7" s="20"/>
      <c r="H7" s="21"/>
      <c r="I7" s="59"/>
      <c r="J7" s="57" t="s">
        <v>28</v>
      </c>
      <c r="K7" s="23">
        <v>142</v>
      </c>
      <c r="L7" s="58">
        <f>I5*K7</f>
        <v>2554.58</v>
      </c>
      <c r="M7" s="57" t="s">
        <v>28</v>
      </c>
      <c r="N7" s="23">
        <v>0</v>
      </c>
      <c r="O7" s="23">
        <v>31</v>
      </c>
      <c r="P7" s="23">
        <f t="shared" si="0"/>
        <v>111</v>
      </c>
      <c r="Q7" s="23">
        <v>10</v>
      </c>
      <c r="R7" s="23"/>
      <c r="T7" s="79"/>
    </row>
    <row r="8" spans="1:20" s="2" customFormat="true">
      <c r="A8" s="16"/>
      <c r="B8" s="16"/>
      <c r="C8" s="22"/>
      <c r="D8" s="22"/>
      <c r="E8" s="23"/>
      <c r="F8" s="23"/>
      <c r="G8" s="20"/>
      <c r="H8" s="21"/>
      <c r="I8" s="59"/>
      <c r="J8" s="57" t="s">
        <v>29</v>
      </c>
      <c r="K8" s="23">
        <v>126</v>
      </c>
      <c r="L8" s="58">
        <f>I5*K8</f>
        <v>2266.74</v>
      </c>
      <c r="M8" s="57" t="s">
        <v>29</v>
      </c>
      <c r="N8" s="23">
        <v>0</v>
      </c>
      <c r="O8" s="23">
        <v>10</v>
      </c>
      <c r="P8" s="23">
        <f t="shared" si="0"/>
        <v>116</v>
      </c>
      <c r="Q8" s="23">
        <v>2</v>
      </c>
      <c r="R8" s="23"/>
      <c r="T8" s="79"/>
    </row>
    <row r="9" spans="1:20" s="2" customFormat="true">
      <c r="A9" s="16"/>
      <c r="B9" s="16"/>
      <c r="C9" s="22"/>
      <c r="D9" s="22"/>
      <c r="E9" s="23"/>
      <c r="F9" s="23"/>
      <c r="G9" s="20"/>
      <c r="H9" s="21"/>
      <c r="I9" s="59"/>
      <c r="J9" s="57" t="s">
        <v>30</v>
      </c>
      <c r="K9" s="23">
        <v>116</v>
      </c>
      <c r="L9" s="58">
        <f>I5*K9</f>
        <v>2086.84</v>
      </c>
      <c r="M9" s="57" t="s">
        <v>30</v>
      </c>
      <c r="N9" s="23">
        <v>0</v>
      </c>
      <c r="O9" s="23">
        <v>7</v>
      </c>
      <c r="P9" s="23">
        <f t="shared" si="0"/>
        <v>109</v>
      </c>
      <c r="Q9" s="23">
        <v>3</v>
      </c>
      <c r="R9" s="23"/>
      <c r="T9" s="79"/>
    </row>
    <row r="10" spans="1:20" s="2" customFormat="true">
      <c r="A10" s="16"/>
      <c r="B10" s="16"/>
      <c r="C10" s="22"/>
      <c r="D10" s="22"/>
      <c r="E10" s="23"/>
      <c r="F10" s="23"/>
      <c r="G10" s="20"/>
      <c r="H10" s="21"/>
      <c r="I10" s="60"/>
      <c r="J10" s="23" t="s">
        <v>31</v>
      </c>
      <c r="K10" s="23">
        <v>104</v>
      </c>
      <c r="L10" s="58">
        <f>I5*K10</f>
        <v>1870.96</v>
      </c>
      <c r="M10" s="23" t="s">
        <v>31</v>
      </c>
      <c r="N10" s="23">
        <v>0</v>
      </c>
      <c r="O10" s="23">
        <v>6</v>
      </c>
      <c r="P10" s="23">
        <f t="shared" si="0"/>
        <v>98</v>
      </c>
      <c r="Q10" s="23">
        <v>2</v>
      </c>
      <c r="R10" s="23"/>
      <c r="T10" s="79"/>
    </row>
    <row r="11" spans="1:20" s="2" customFormat="true">
      <c r="A11" s="24"/>
      <c r="B11" s="24"/>
      <c r="C11" s="25"/>
      <c r="D11" s="25"/>
      <c r="E11" s="23"/>
      <c r="F11" s="23"/>
      <c r="G11" s="26"/>
      <c r="H11" s="27"/>
      <c r="J11" s="61" t="s">
        <v>32</v>
      </c>
      <c r="K11" s="62">
        <f t="shared" ref="K11:N11" si="1">SUM(K5:K10)</f>
        <v>751</v>
      </c>
      <c r="L11" s="63">
        <f t="shared" si="1"/>
        <v>13510.49</v>
      </c>
      <c r="M11" s="61" t="s">
        <v>32</v>
      </c>
      <c r="N11" s="62">
        <f t="shared" si="1"/>
        <v>0</v>
      </c>
      <c r="O11" s="62" cm="1">
        <f t="array" ref="O11">SUMPRODUCT(--(O5:O10))</f>
        <v>117</v>
      </c>
      <c r="P11" s="64" cm="1">
        <f t="array" ref="P11">SUMPRODUCT(--(P5:P10))</f>
        <v>634</v>
      </c>
      <c r="Q11" s="64">
        <f>SUM(Q5:Q10)</f>
        <v>30</v>
      </c>
      <c r="R11" s="64">
        <f>SUM(R5:R10)</f>
        <v>0</v>
      </c>
      <c r="T11" s="79"/>
    </row>
    <row r="12" spans="1:20" s="2" customFormat="true" ht="17.4" customHeight="true">
      <c r="A12" s="28"/>
      <c r="B12" s="29"/>
      <c r="C12" s="29"/>
      <c r="D12" s="29"/>
      <c r="E12" s="29"/>
      <c r="F12" s="29"/>
      <c r="G12" s="29"/>
      <c r="H12" s="29"/>
      <c r="I12" s="29"/>
      <c r="J12" s="29"/>
      <c r="K12" s="29"/>
      <c r="L12" s="29"/>
      <c r="M12" s="29"/>
      <c r="N12" s="29"/>
      <c r="O12" s="29"/>
      <c r="P12" s="29"/>
      <c r="Q12" s="29"/>
      <c r="R12" s="29"/>
      <c r="T12" s="79"/>
    </row>
    <row r="13" spans="1:21" s="1" customFormat="true" ht="10.95" customHeight="true">
      <c r="A13" s="7" t="s">
        <v>3</v>
      </c>
      <c r="B13" s="30" t="s">
        <v>4</v>
      </c>
      <c r="C13" s="30" t="s">
        <v>55</v>
      </c>
      <c r="D13" s="30" t="s">
        <v>6</v>
      </c>
      <c r="E13" s="30" t="s">
        <v>7</v>
      </c>
      <c r="F13" s="30" t="s">
        <v>8</v>
      </c>
      <c r="G13" s="30" t="s">
        <v>9</v>
      </c>
      <c r="H13" s="30"/>
      <c r="I13" s="7" t="s">
        <v>10</v>
      </c>
      <c r="J13" s="7" t="s">
        <v>11</v>
      </c>
      <c r="K13" s="8" t="s">
        <v>12</v>
      </c>
      <c r="L13" s="9"/>
      <c r="M13" s="7" t="s">
        <v>11</v>
      </c>
      <c r="N13" s="52" t="s">
        <v>13</v>
      </c>
      <c r="O13" s="52"/>
      <c r="P13" s="9"/>
      <c r="Q13" s="9" t="s">
        <v>14</v>
      </c>
      <c r="R13" s="9" t="s">
        <v>15</v>
      </c>
      <c r="T13" s="78"/>
      <c r="U13" s="2"/>
    </row>
    <row r="14" spans="1:20" s="1" customFormat="true" ht="16.05" customHeight="true">
      <c r="A14" s="10"/>
      <c r="B14" s="30"/>
      <c r="C14" s="30"/>
      <c r="D14" s="30"/>
      <c r="E14" s="30"/>
      <c r="F14" s="30"/>
      <c r="G14" s="30"/>
      <c r="H14" s="30"/>
      <c r="I14" s="10"/>
      <c r="J14" s="10"/>
      <c r="K14" s="14"/>
      <c r="L14" s="15"/>
      <c r="M14" s="10"/>
      <c r="N14" s="53"/>
      <c r="O14" s="53"/>
      <c r="P14" s="15"/>
      <c r="Q14" s="15"/>
      <c r="R14" s="15"/>
      <c r="T14" s="78"/>
    </row>
    <row r="15" spans="1:20" s="1" customFormat="true" ht="28.95" customHeight="true">
      <c r="A15" s="13"/>
      <c r="B15" s="30"/>
      <c r="C15" s="30"/>
      <c r="D15" s="30"/>
      <c r="E15" s="30"/>
      <c r="F15" s="30"/>
      <c r="G15" s="30"/>
      <c r="H15" s="30"/>
      <c r="I15" s="13"/>
      <c r="J15" s="13"/>
      <c r="K15" s="54" t="s">
        <v>16</v>
      </c>
      <c r="L15" s="55" t="s">
        <v>17</v>
      </c>
      <c r="M15" s="13"/>
      <c r="N15" s="55" t="s">
        <v>18</v>
      </c>
      <c r="O15" s="55" t="s">
        <v>19</v>
      </c>
      <c r="P15" s="55" t="s">
        <v>20</v>
      </c>
      <c r="Q15" s="55" t="s">
        <v>21</v>
      </c>
      <c r="R15" s="55" t="s">
        <v>22</v>
      </c>
      <c r="T15" s="78"/>
    </row>
    <row r="16" spans="1:20" s="2" customFormat="true" ht="13.95" customHeight="true">
      <c r="A16" s="16">
        <v>2</v>
      </c>
      <c r="B16" s="17" t="str">
        <f>=DISPIMG("ID_047EDA71E40F433FAEAB1786FFAC1457",1)</f>
        <v>=DISPIMG("ID_047EDA71E40F433FAEAB1786FFAC1457",1)</v>
      </c>
      <c r="C16" s="18" t="s">
        <v>86</v>
      </c>
      <c r="D16" s="18" t="s">
        <v>85</v>
      </c>
      <c r="E16" s="19"/>
      <c r="F16" s="19"/>
      <c r="G16" s="20" t="s">
        <v>34</v>
      </c>
      <c r="H16" s="21" t="str">
        <f>=DISPIMG("ID_D08FF2E544324F038FBCE8A32045E541",1)</f>
        <v>=DISPIMG("ID_D08FF2E544324F038FBCE8A32045E541",1)</v>
      </c>
      <c r="I16" s="56">
        <v>17.99</v>
      </c>
      <c r="J16" s="57" t="s">
        <v>26</v>
      </c>
      <c r="K16" s="23">
        <v>132</v>
      </c>
      <c r="L16" s="58">
        <f>I16*K16</f>
        <v>2374.68</v>
      </c>
      <c r="M16" s="57" t="s">
        <v>26</v>
      </c>
      <c r="N16" s="23">
        <v>0</v>
      </c>
      <c r="O16" s="23">
        <v>33</v>
      </c>
      <c r="P16" s="23">
        <f t="shared" ref="P16:P21" si="2">MAX(0,K16-O16)</f>
        <v>99</v>
      </c>
      <c r="Q16" s="23">
        <v>4</v>
      </c>
      <c r="R16" s="23"/>
      <c r="T16" s="79"/>
    </row>
    <row r="17" spans="1:20" s="2" customFormat="true">
      <c r="A17" s="16"/>
      <c r="B17" s="16"/>
      <c r="C17" s="22"/>
      <c r="D17" s="22"/>
      <c r="E17" s="23"/>
      <c r="F17" s="23"/>
      <c r="G17" s="20"/>
      <c r="H17" s="21"/>
      <c r="I17" s="59"/>
      <c r="J17" s="57" t="s">
        <v>27</v>
      </c>
      <c r="K17" s="23">
        <v>270</v>
      </c>
      <c r="L17" s="58">
        <f>I16*K17</f>
        <v>4857.3</v>
      </c>
      <c r="M17" s="57" t="s">
        <v>27</v>
      </c>
      <c r="N17" s="23">
        <v>0</v>
      </c>
      <c r="O17" s="23">
        <v>70</v>
      </c>
      <c r="P17" s="23">
        <f t="shared" si="2"/>
        <v>200</v>
      </c>
      <c r="Q17" s="23">
        <v>16</v>
      </c>
      <c r="R17" s="23"/>
      <c r="T17" s="79"/>
    </row>
    <row r="18" spans="1:20" s="2" customFormat="true">
      <c r="A18" s="16"/>
      <c r="B18" s="16"/>
      <c r="C18" s="22"/>
      <c r="D18" s="22"/>
      <c r="E18" s="23"/>
      <c r="F18" s="23"/>
      <c r="G18" s="20"/>
      <c r="H18" s="21"/>
      <c r="I18" s="59"/>
      <c r="J18" s="57" t="s">
        <v>28</v>
      </c>
      <c r="K18" s="23">
        <v>294</v>
      </c>
      <c r="L18" s="58">
        <f>I16*K18</f>
        <v>5289.06</v>
      </c>
      <c r="M18" s="57" t="s">
        <v>28</v>
      </c>
      <c r="N18" s="23">
        <v>0</v>
      </c>
      <c r="O18" s="23">
        <v>58</v>
      </c>
      <c r="P18" s="23">
        <f t="shared" si="2"/>
        <v>236</v>
      </c>
      <c r="Q18" s="23">
        <v>18</v>
      </c>
      <c r="R18" s="23"/>
      <c r="T18" s="79"/>
    </row>
    <row r="19" spans="1:20" s="2" customFormat="true">
      <c r="A19" s="16"/>
      <c r="B19" s="16"/>
      <c r="C19" s="22"/>
      <c r="D19" s="22"/>
      <c r="E19" s="23"/>
      <c r="F19" s="23"/>
      <c r="G19" s="20"/>
      <c r="H19" s="21"/>
      <c r="I19" s="59"/>
      <c r="J19" s="57" t="s">
        <v>29</v>
      </c>
      <c r="K19" s="23">
        <v>254</v>
      </c>
      <c r="L19" s="58">
        <f>I16*K19</f>
        <v>4569.46</v>
      </c>
      <c r="M19" s="57" t="s">
        <v>29</v>
      </c>
      <c r="N19" s="23">
        <v>0</v>
      </c>
      <c r="O19" s="23">
        <v>36</v>
      </c>
      <c r="P19" s="23">
        <f t="shared" si="2"/>
        <v>218</v>
      </c>
      <c r="Q19" s="23">
        <v>7</v>
      </c>
      <c r="R19" s="23"/>
      <c r="T19" s="79"/>
    </row>
    <row r="20" spans="1:20" s="2" customFormat="true">
      <c r="A20" s="16"/>
      <c r="B20" s="16"/>
      <c r="C20" s="22"/>
      <c r="D20" s="22"/>
      <c r="E20" s="23"/>
      <c r="F20" s="23"/>
      <c r="G20" s="20"/>
      <c r="H20" s="21"/>
      <c r="I20" s="59"/>
      <c r="J20" s="57" t="s">
        <v>30</v>
      </c>
      <c r="K20" s="23">
        <v>198</v>
      </c>
      <c r="L20" s="58">
        <f>I16*K20</f>
        <v>3562.02</v>
      </c>
      <c r="M20" s="57" t="s">
        <v>30</v>
      </c>
      <c r="N20" s="23">
        <v>0</v>
      </c>
      <c r="O20" s="23">
        <v>16</v>
      </c>
      <c r="P20" s="23">
        <f t="shared" si="2"/>
        <v>182</v>
      </c>
      <c r="Q20" s="23">
        <v>4</v>
      </c>
      <c r="R20" s="23"/>
      <c r="T20" s="79"/>
    </row>
    <row r="21" spans="1:20" s="2" customFormat="true">
      <c r="A21" s="16"/>
      <c r="B21" s="16"/>
      <c r="C21" s="22"/>
      <c r="D21" s="22"/>
      <c r="E21" s="23"/>
      <c r="F21" s="23"/>
      <c r="G21" s="20"/>
      <c r="H21" s="21"/>
      <c r="I21" s="60"/>
      <c r="J21" s="23" t="s">
        <v>31</v>
      </c>
      <c r="K21" s="23">
        <v>116</v>
      </c>
      <c r="L21" s="58">
        <f>I16*K21</f>
        <v>2086.84</v>
      </c>
      <c r="M21" s="23" t="s">
        <v>31</v>
      </c>
      <c r="N21" s="23">
        <v>0</v>
      </c>
      <c r="O21" s="23">
        <v>16</v>
      </c>
      <c r="P21" s="23">
        <f t="shared" si="2"/>
        <v>100</v>
      </c>
      <c r="Q21" s="23">
        <v>3</v>
      </c>
      <c r="R21" s="23"/>
      <c r="T21" s="79"/>
    </row>
    <row r="22" spans="1:20" s="2" customFormat="true">
      <c r="A22" s="24"/>
      <c r="B22" s="24"/>
      <c r="C22" s="25"/>
      <c r="D22" s="25"/>
      <c r="E22" s="23"/>
      <c r="F22" s="23"/>
      <c r="G22" s="26"/>
      <c r="H22" s="27"/>
      <c r="I22" s="62"/>
      <c r="J22" s="61" t="s">
        <v>32</v>
      </c>
      <c r="K22" s="62">
        <f t="shared" ref="K22:N22" si="3">SUM(K16:K21)</f>
        <v>1264</v>
      </c>
      <c r="L22" s="63">
        <f t="shared" si="3"/>
        <v>22739.36</v>
      </c>
      <c r="M22" s="61" t="s">
        <v>32</v>
      </c>
      <c r="N22" s="62">
        <f t="shared" si="3"/>
        <v>0</v>
      </c>
      <c r="O22" s="62" cm="1">
        <f t="array" ref="O22">SUMPRODUCT(--(O16:O21))</f>
        <v>229</v>
      </c>
      <c r="P22" s="64" cm="1">
        <f t="array" ref="P22">SUMPRODUCT(--(P16:P21))</f>
        <v>1035</v>
      </c>
      <c r="Q22" s="64">
        <f>SUM(Q16:Q21)</f>
        <v>52</v>
      </c>
      <c r="R22" s="64">
        <f>SUM(R16:R21)</f>
        <v>0</v>
      </c>
      <c r="T22" s="79"/>
    </row>
    <row r="23" spans="1:20" s="2" customFormat="true" ht="17.4" customHeight="true">
      <c r="A23" s="93" t="s">
        <v>87</v>
      </c>
      <c r="B23" s="29"/>
      <c r="C23" s="29"/>
      <c r="D23" s="29"/>
      <c r="E23" s="29"/>
      <c r="F23" s="29"/>
      <c r="G23" s="29"/>
      <c r="H23" s="29"/>
      <c r="I23" s="29"/>
      <c r="J23" s="29"/>
      <c r="K23" s="29"/>
      <c r="L23" s="29"/>
      <c r="M23" s="29"/>
      <c r="N23" s="29"/>
      <c r="O23" s="29"/>
      <c r="P23" s="29"/>
      <c r="Q23" s="65"/>
      <c r="R23" s="65"/>
      <c r="T23" s="79"/>
    </row>
    <row r="24" spans="1:20" s="1" customFormat="true" ht="10.95" customHeight="true">
      <c r="A24" s="7" t="s">
        <v>3</v>
      </c>
      <c r="B24" s="30" t="s">
        <v>4</v>
      </c>
      <c r="C24" s="30" t="s">
        <v>55</v>
      </c>
      <c r="D24" s="30" t="s">
        <v>6</v>
      </c>
      <c r="E24" s="30" t="s">
        <v>7</v>
      </c>
      <c r="F24" s="30" t="s">
        <v>8</v>
      </c>
      <c r="G24" s="30" t="s">
        <v>9</v>
      </c>
      <c r="H24" s="30"/>
      <c r="I24" s="7" t="s">
        <v>10</v>
      </c>
      <c r="J24" s="7" t="s">
        <v>11</v>
      </c>
      <c r="K24" s="8" t="s">
        <v>12</v>
      </c>
      <c r="L24" s="9"/>
      <c r="M24" s="7" t="s">
        <v>11</v>
      </c>
      <c r="N24" s="52" t="s">
        <v>13</v>
      </c>
      <c r="O24" s="52"/>
      <c r="P24" s="9"/>
      <c r="Q24" s="9" t="s">
        <v>14</v>
      </c>
      <c r="R24" s="9" t="s">
        <v>15</v>
      </c>
      <c r="T24" s="78"/>
    </row>
    <row r="25" spans="1:20" s="1" customFormat="true" ht="16.05" customHeight="true">
      <c r="A25" s="10"/>
      <c r="B25" s="30"/>
      <c r="C25" s="30"/>
      <c r="D25" s="30"/>
      <c r="E25" s="30"/>
      <c r="F25" s="30"/>
      <c r="G25" s="30"/>
      <c r="H25" s="30"/>
      <c r="I25" s="10"/>
      <c r="J25" s="10"/>
      <c r="K25" s="14"/>
      <c r="L25" s="15"/>
      <c r="M25" s="10"/>
      <c r="N25" s="53"/>
      <c r="O25" s="53"/>
      <c r="P25" s="15"/>
      <c r="Q25" s="15"/>
      <c r="R25" s="15"/>
      <c r="T25" s="78"/>
    </row>
    <row r="26" spans="1:20" s="1" customFormat="true" ht="28.95" customHeight="true">
      <c r="A26" s="13"/>
      <c r="B26" s="30"/>
      <c r="C26" s="30"/>
      <c r="D26" s="30"/>
      <c r="E26" s="30"/>
      <c r="F26" s="30"/>
      <c r="G26" s="30"/>
      <c r="H26" s="30"/>
      <c r="I26" s="13"/>
      <c r="J26" s="13"/>
      <c r="K26" s="54" t="s">
        <v>16</v>
      </c>
      <c r="L26" s="55" t="s">
        <v>17</v>
      </c>
      <c r="M26" s="13"/>
      <c r="N26" s="55" t="s">
        <v>18</v>
      </c>
      <c r="O26" s="55" t="s">
        <v>19</v>
      </c>
      <c r="P26" s="55" t="s">
        <v>20</v>
      </c>
      <c r="Q26" s="55" t="s">
        <v>21</v>
      </c>
      <c r="R26" s="55" t="s">
        <v>22</v>
      </c>
      <c r="T26" s="78"/>
    </row>
    <row r="27" spans="1:20" s="2" customFormat="true" ht="13.95" customHeight="true">
      <c r="A27" s="16">
        <v>3</v>
      </c>
      <c r="B27" s="17" t="str">
        <f>=DISPIMG("ID_994B03F3A6DA4523959EAB89A3FAE53A",1)</f>
        <v>=DISPIMG("ID_994B03F3A6DA4523959EAB89A3FAE53A",1)</v>
      </c>
      <c r="C27" s="18" t="s">
        <v>88</v>
      </c>
      <c r="D27" s="18" t="s">
        <v>85</v>
      </c>
      <c r="E27" s="19"/>
      <c r="F27" s="19"/>
      <c r="G27" s="20" t="s">
        <v>36</v>
      </c>
      <c r="H27" s="21" t="str">
        <f>=DISPIMG("ID_D580D75AC8DB4CEDB332B0024ACFF1E0",1)</f>
        <v>=DISPIMG("ID_D580D75AC8DB4CEDB332B0024ACFF1E0",1)</v>
      </c>
      <c r="I27" s="56">
        <v>17.99</v>
      </c>
      <c r="J27" s="57" t="s">
        <v>26</v>
      </c>
      <c r="K27" s="23">
        <v>129</v>
      </c>
      <c r="L27" s="58">
        <f>I27*K27</f>
        <v>2320.71</v>
      </c>
      <c r="M27" s="57" t="s">
        <v>26</v>
      </c>
      <c r="N27" s="23">
        <v>0</v>
      </c>
      <c r="O27" s="23">
        <v>27</v>
      </c>
      <c r="P27" s="23">
        <f t="shared" ref="P27:P32" si="4">MAX(0,K27-O27)</f>
        <v>102</v>
      </c>
      <c r="Q27" s="23">
        <v>0</v>
      </c>
      <c r="R27" s="23"/>
      <c r="T27" s="79"/>
    </row>
    <row r="28" spans="1:20" s="2" customFormat="true">
      <c r="A28" s="16"/>
      <c r="B28" s="16"/>
      <c r="C28" s="22"/>
      <c r="D28" s="22"/>
      <c r="E28" s="23"/>
      <c r="F28" s="23"/>
      <c r="G28" s="20"/>
      <c r="H28" s="21"/>
      <c r="I28" s="59"/>
      <c r="J28" s="57" t="s">
        <v>27</v>
      </c>
      <c r="K28" s="23">
        <v>138</v>
      </c>
      <c r="L28" s="58">
        <f>I27*K28</f>
        <v>2482.62</v>
      </c>
      <c r="M28" s="57" t="s">
        <v>27</v>
      </c>
      <c r="N28" s="23">
        <v>0</v>
      </c>
      <c r="O28" s="23">
        <v>41</v>
      </c>
      <c r="P28" s="23">
        <f t="shared" si="4"/>
        <v>97</v>
      </c>
      <c r="Q28" s="23">
        <v>3</v>
      </c>
      <c r="R28" s="23"/>
      <c r="T28" s="79"/>
    </row>
    <row r="29" spans="1:20" s="2" customFormat="true">
      <c r="A29" s="16"/>
      <c r="B29" s="16"/>
      <c r="C29" s="22"/>
      <c r="D29" s="22"/>
      <c r="E29" s="23"/>
      <c r="F29" s="23"/>
      <c r="G29" s="20"/>
      <c r="H29" s="21"/>
      <c r="I29" s="59"/>
      <c r="J29" s="57" t="s">
        <v>28</v>
      </c>
      <c r="K29" s="23">
        <v>146</v>
      </c>
      <c r="L29" s="58">
        <f>I27*K29</f>
        <v>2626.54</v>
      </c>
      <c r="M29" s="57" t="s">
        <v>28</v>
      </c>
      <c r="N29" s="23">
        <v>0</v>
      </c>
      <c r="O29" s="23">
        <v>26</v>
      </c>
      <c r="P29" s="23">
        <f t="shared" si="4"/>
        <v>120</v>
      </c>
      <c r="Q29" s="23">
        <v>3</v>
      </c>
      <c r="R29" s="23"/>
      <c r="T29" s="79"/>
    </row>
    <row r="30" spans="1:20" s="2" customFormat="true">
      <c r="A30" s="16"/>
      <c r="B30" s="16"/>
      <c r="C30" s="22"/>
      <c r="D30" s="22"/>
      <c r="E30" s="23"/>
      <c r="F30" s="23"/>
      <c r="G30" s="20"/>
      <c r="H30" s="21"/>
      <c r="I30" s="59"/>
      <c r="J30" s="57" t="s">
        <v>29</v>
      </c>
      <c r="K30" s="23">
        <v>117</v>
      </c>
      <c r="L30" s="58">
        <f>I27*K30</f>
        <v>2104.83</v>
      </c>
      <c r="M30" s="57" t="s">
        <v>29</v>
      </c>
      <c r="N30" s="23">
        <v>0</v>
      </c>
      <c r="O30" s="23">
        <v>13</v>
      </c>
      <c r="P30" s="23">
        <f t="shared" si="4"/>
        <v>104</v>
      </c>
      <c r="Q30" s="23">
        <v>1</v>
      </c>
      <c r="R30" s="23"/>
      <c r="T30" s="79"/>
    </row>
    <row r="31" spans="1:20" s="2" customFormat="true">
      <c r="A31" s="16"/>
      <c r="B31" s="16"/>
      <c r="C31" s="22"/>
      <c r="D31" s="22"/>
      <c r="E31" s="23"/>
      <c r="F31" s="23"/>
      <c r="G31" s="20"/>
      <c r="H31" s="21"/>
      <c r="I31" s="59"/>
      <c r="J31" s="57" t="s">
        <v>30</v>
      </c>
      <c r="K31" s="23">
        <v>109</v>
      </c>
      <c r="L31" s="58">
        <f>I27*K31</f>
        <v>1960.91</v>
      </c>
      <c r="M31" s="57" t="s">
        <v>30</v>
      </c>
      <c r="N31" s="23">
        <v>0</v>
      </c>
      <c r="O31" s="23">
        <v>3</v>
      </c>
      <c r="P31" s="23">
        <f t="shared" si="4"/>
        <v>106</v>
      </c>
      <c r="Q31" s="23">
        <v>1</v>
      </c>
      <c r="R31" s="23"/>
      <c r="T31" s="79"/>
    </row>
    <row r="32" spans="1:20" s="2" customFormat="true">
      <c r="A32" s="16"/>
      <c r="B32" s="16"/>
      <c r="C32" s="22"/>
      <c r="D32" s="22"/>
      <c r="E32" s="23"/>
      <c r="F32" s="23"/>
      <c r="G32" s="20"/>
      <c r="H32" s="21"/>
      <c r="I32" s="60"/>
      <c r="J32" s="23" t="s">
        <v>31</v>
      </c>
      <c r="K32" s="23">
        <v>110</v>
      </c>
      <c r="L32" s="58">
        <f>I27*K32</f>
        <v>1978.9</v>
      </c>
      <c r="M32" s="23" t="s">
        <v>31</v>
      </c>
      <c r="N32" s="23">
        <v>0</v>
      </c>
      <c r="O32" s="23">
        <v>8</v>
      </c>
      <c r="P32" s="23">
        <f t="shared" si="4"/>
        <v>102</v>
      </c>
      <c r="Q32" s="23">
        <v>1</v>
      </c>
      <c r="R32" s="23"/>
      <c r="T32" s="79"/>
    </row>
    <row r="33" spans="1:20" s="2" customFormat="true">
      <c r="A33" s="24"/>
      <c r="B33" s="24"/>
      <c r="C33" s="25"/>
      <c r="D33" s="25"/>
      <c r="E33" s="23"/>
      <c r="F33" s="23"/>
      <c r="G33" s="26"/>
      <c r="H33" s="27"/>
      <c r="I33" s="62"/>
      <c r="J33" s="61" t="s">
        <v>32</v>
      </c>
      <c r="K33" s="62">
        <f t="shared" ref="K33:N33" si="5">SUM(K27:K32)</f>
        <v>749</v>
      </c>
      <c r="L33" s="63">
        <f t="shared" si="5"/>
        <v>13474.51</v>
      </c>
      <c r="M33" s="61" t="s">
        <v>32</v>
      </c>
      <c r="N33" s="62">
        <f t="shared" si="5"/>
        <v>0</v>
      </c>
      <c r="O33" s="62" cm="1">
        <f t="array" ref="O33">SUMPRODUCT(--(O27:O32))</f>
        <v>118</v>
      </c>
      <c r="P33" s="64" cm="1">
        <f t="array" ref="P33">SUMPRODUCT(--(P27:P32))</f>
        <v>631</v>
      </c>
      <c r="Q33" s="64">
        <f>SUM(Q27:Q32)</f>
        <v>9</v>
      </c>
      <c r="R33" s="64">
        <f>SUM(R27:R32)</f>
        <v>0</v>
      </c>
      <c r="T33" s="79"/>
    </row>
    <row r="34" spans="1:20" s="2" customFormat="true" ht="17.4" customHeight="true">
      <c r="A34" s="28"/>
      <c r="B34" s="29"/>
      <c r="C34" s="29"/>
      <c r="D34" s="29"/>
      <c r="E34" s="29"/>
      <c r="F34" s="29"/>
      <c r="G34" s="29"/>
      <c r="H34" s="29"/>
      <c r="I34" s="29"/>
      <c r="J34" s="29"/>
      <c r="K34" s="29"/>
      <c r="L34" s="29"/>
      <c r="M34" s="29"/>
      <c r="N34" s="29"/>
      <c r="O34" s="29"/>
      <c r="P34" s="29"/>
      <c r="Q34" s="29"/>
      <c r="R34" s="29"/>
      <c r="T34" s="79"/>
    </row>
    <row r="35" spans="1:20" s="1" customFormat="true" ht="10.95" customHeight="true">
      <c r="A35" s="7" t="s">
        <v>3</v>
      </c>
      <c r="B35" s="30" t="s">
        <v>4</v>
      </c>
      <c r="C35" s="30" t="s">
        <v>55</v>
      </c>
      <c r="D35" s="30" t="s">
        <v>6</v>
      </c>
      <c r="E35" s="30" t="s">
        <v>7</v>
      </c>
      <c r="F35" s="30" t="s">
        <v>8</v>
      </c>
      <c r="G35" s="30" t="s">
        <v>9</v>
      </c>
      <c r="H35" s="30"/>
      <c r="I35" s="7" t="s">
        <v>10</v>
      </c>
      <c r="J35" s="7" t="s">
        <v>11</v>
      </c>
      <c r="K35" s="8" t="s">
        <v>12</v>
      </c>
      <c r="L35" s="9"/>
      <c r="M35" s="7" t="s">
        <v>11</v>
      </c>
      <c r="N35" s="52" t="s">
        <v>13</v>
      </c>
      <c r="O35" s="52"/>
      <c r="P35" s="9"/>
      <c r="Q35" s="9" t="s">
        <v>14</v>
      </c>
      <c r="R35" s="9" t="s">
        <v>15</v>
      </c>
      <c r="T35" s="78"/>
    </row>
    <row r="36" spans="1:20" s="1" customFormat="true" ht="16.05" customHeight="true">
      <c r="A36" s="10"/>
      <c r="B36" s="30"/>
      <c r="C36" s="30"/>
      <c r="D36" s="30"/>
      <c r="E36" s="30"/>
      <c r="F36" s="30"/>
      <c r="G36" s="30"/>
      <c r="H36" s="30"/>
      <c r="I36" s="10"/>
      <c r="J36" s="10"/>
      <c r="K36" s="14"/>
      <c r="L36" s="15"/>
      <c r="M36" s="10"/>
      <c r="N36" s="53"/>
      <c r="O36" s="53"/>
      <c r="P36" s="15"/>
      <c r="Q36" s="15"/>
      <c r="R36" s="15"/>
      <c r="T36" s="78"/>
    </row>
    <row r="37" spans="1:20" s="1" customFormat="true" ht="28.95" customHeight="true">
      <c r="A37" s="13"/>
      <c r="B37" s="30"/>
      <c r="C37" s="30"/>
      <c r="D37" s="30"/>
      <c r="E37" s="30"/>
      <c r="F37" s="30"/>
      <c r="G37" s="30"/>
      <c r="H37" s="30"/>
      <c r="I37" s="13"/>
      <c r="J37" s="13"/>
      <c r="K37" s="54" t="s">
        <v>16</v>
      </c>
      <c r="L37" s="55" t="s">
        <v>17</v>
      </c>
      <c r="M37" s="13"/>
      <c r="N37" s="55" t="s">
        <v>18</v>
      </c>
      <c r="O37" s="55" t="s">
        <v>19</v>
      </c>
      <c r="P37" s="55" t="s">
        <v>20</v>
      </c>
      <c r="Q37" s="55" t="s">
        <v>21</v>
      </c>
      <c r="R37" s="55" t="s">
        <v>22</v>
      </c>
      <c r="T37" s="78"/>
    </row>
    <row r="38" spans="1:20" s="2" customFormat="true" ht="13.95" customHeight="true">
      <c r="A38" s="16">
        <v>4</v>
      </c>
      <c r="B38" s="17" t="str">
        <f>=DISPIMG("ID_CACDE121C85F49F1A34BB34C5B35AC1B",1)</f>
        <v>=DISPIMG("ID_CACDE121C85F49F1A34BB34C5B35AC1B",1)</v>
      </c>
      <c r="C38" s="18" t="s">
        <v>89</v>
      </c>
      <c r="D38" s="18" t="s">
        <v>85</v>
      </c>
      <c r="E38" s="19"/>
      <c r="F38" s="19"/>
      <c r="G38" s="20" t="s">
        <v>38</v>
      </c>
      <c r="H38" s="21" t="str">
        <f>=DISPIMG("ID_6CCC7E562F7247D3AC7A4A363FD645D0",1)</f>
        <v>=DISPIMG("ID_6CCC7E562F7247D3AC7A4A363FD645D0",1)</v>
      </c>
      <c r="I38" s="56">
        <v>17.99</v>
      </c>
      <c r="J38" s="57" t="s">
        <v>26</v>
      </c>
      <c r="K38" s="23">
        <v>0</v>
      </c>
      <c r="L38" s="58">
        <f>I38*K38</f>
        <v>0</v>
      </c>
      <c r="M38" s="57" t="s">
        <v>26</v>
      </c>
      <c r="N38" s="23">
        <v>0</v>
      </c>
      <c r="O38" s="23">
        <f t="shared" ref="O38:O43" si="6">K38-P38</f>
        <v>0</v>
      </c>
      <c r="P38" s="23">
        <v>0</v>
      </c>
      <c r="Q38" s="23"/>
      <c r="R38" s="23"/>
      <c r="T38" s="79"/>
    </row>
    <row r="39" spans="1:20" s="2" customFormat="true">
      <c r="A39" s="16"/>
      <c r="B39" s="16"/>
      <c r="C39" s="22"/>
      <c r="D39" s="22"/>
      <c r="E39" s="23"/>
      <c r="F39" s="23"/>
      <c r="G39" s="20"/>
      <c r="H39" s="21"/>
      <c r="I39" s="59"/>
      <c r="J39" s="57" t="s">
        <v>27</v>
      </c>
      <c r="K39" s="23">
        <v>107</v>
      </c>
      <c r="L39" s="58">
        <f>I38*K39</f>
        <v>1924.93</v>
      </c>
      <c r="M39" s="57" t="s">
        <v>27</v>
      </c>
      <c r="N39" s="23">
        <v>1</v>
      </c>
      <c r="O39" s="23">
        <v>3</v>
      </c>
      <c r="P39" s="23">
        <f t="shared" ref="P39:P41" si="7">MAX(0,K39-O39)</f>
        <v>104</v>
      </c>
      <c r="Q39" s="23">
        <v>1</v>
      </c>
      <c r="R39" s="23"/>
      <c r="T39" s="79"/>
    </row>
    <row r="40" spans="1:20" s="2" customFormat="true">
      <c r="A40" s="16"/>
      <c r="B40" s="16"/>
      <c r="C40" s="22"/>
      <c r="D40" s="22"/>
      <c r="E40" s="23"/>
      <c r="F40" s="23"/>
      <c r="G40" s="20"/>
      <c r="H40" s="21"/>
      <c r="I40" s="59"/>
      <c r="J40" s="57" t="s">
        <v>28</v>
      </c>
      <c r="K40" s="23">
        <v>103</v>
      </c>
      <c r="L40" s="58">
        <f>I38*K40</f>
        <v>1852.97</v>
      </c>
      <c r="M40" s="57" t="s">
        <v>28</v>
      </c>
      <c r="N40" s="23">
        <v>0</v>
      </c>
      <c r="O40" s="23">
        <v>0</v>
      </c>
      <c r="P40" s="23">
        <f t="shared" si="7"/>
        <v>103</v>
      </c>
      <c r="Q40" s="23">
        <v>0</v>
      </c>
      <c r="R40" s="23"/>
      <c r="T40" s="79"/>
    </row>
    <row r="41" spans="1:20" s="2" customFormat="true">
      <c r="A41" s="16"/>
      <c r="B41" s="16"/>
      <c r="C41" s="22"/>
      <c r="D41" s="22"/>
      <c r="E41" s="23"/>
      <c r="F41" s="23"/>
      <c r="G41" s="20"/>
      <c r="H41" s="21"/>
      <c r="I41" s="59"/>
      <c r="J41" s="57" t="s">
        <v>29</v>
      </c>
      <c r="K41" s="23">
        <v>100</v>
      </c>
      <c r="L41" s="58">
        <f>I38*K41</f>
        <v>1799</v>
      </c>
      <c r="M41" s="57" t="s">
        <v>29</v>
      </c>
      <c r="N41" s="23">
        <v>0</v>
      </c>
      <c r="O41" s="23">
        <v>1</v>
      </c>
      <c r="P41" s="23">
        <f t="shared" si="7"/>
        <v>99</v>
      </c>
      <c r="Q41" s="23">
        <v>1</v>
      </c>
      <c r="R41" s="23"/>
      <c r="T41" s="79"/>
    </row>
    <row r="42" spans="1:20" s="2" customFormat="true">
      <c r="A42" s="16"/>
      <c r="B42" s="16"/>
      <c r="C42" s="22"/>
      <c r="D42" s="22"/>
      <c r="E42" s="23"/>
      <c r="F42" s="23"/>
      <c r="G42" s="20"/>
      <c r="H42" s="21"/>
      <c r="I42" s="59"/>
      <c r="J42" s="57" t="s">
        <v>30</v>
      </c>
      <c r="K42" s="23">
        <v>0</v>
      </c>
      <c r="L42" s="58">
        <f>I38*K42</f>
        <v>0</v>
      </c>
      <c r="M42" s="57" t="s">
        <v>30</v>
      </c>
      <c r="N42" s="23">
        <v>0</v>
      </c>
      <c r="O42" s="23">
        <f t="shared" si="6"/>
        <v>0</v>
      </c>
      <c r="P42" s="23">
        <v>0</v>
      </c>
      <c r="Q42" s="23"/>
      <c r="R42" s="23"/>
      <c r="T42" s="79"/>
    </row>
    <row r="43" spans="1:20" s="2" customFormat="true">
      <c r="A43" s="16"/>
      <c r="B43" s="16"/>
      <c r="C43" s="22"/>
      <c r="D43" s="22"/>
      <c r="E43" s="23"/>
      <c r="F43" s="23"/>
      <c r="G43" s="20"/>
      <c r="H43" s="21"/>
      <c r="I43" s="60"/>
      <c r="J43" s="23" t="s">
        <v>31</v>
      </c>
      <c r="K43" s="23">
        <v>0</v>
      </c>
      <c r="L43" s="58">
        <f>I38*K43</f>
        <v>0</v>
      </c>
      <c r="M43" s="23" t="s">
        <v>31</v>
      </c>
      <c r="N43" s="23">
        <v>0</v>
      </c>
      <c r="O43" s="23">
        <f t="shared" si="6"/>
        <v>0</v>
      </c>
      <c r="P43" s="23">
        <v>0</v>
      </c>
      <c r="Q43" s="23"/>
      <c r="R43" s="23"/>
      <c r="T43" s="79"/>
    </row>
    <row r="44" spans="1:20" s="2" customFormat="true">
      <c r="A44" s="24"/>
      <c r="B44" s="24"/>
      <c r="C44" s="25"/>
      <c r="D44" s="25"/>
      <c r="E44" s="23"/>
      <c r="F44" s="23"/>
      <c r="G44" s="26"/>
      <c r="H44" s="27"/>
      <c r="I44" s="62"/>
      <c r="J44" s="61" t="s">
        <v>32</v>
      </c>
      <c r="K44" s="62">
        <f t="shared" ref="K44:N44" si="8">SUM(K38:K43)</f>
        <v>310</v>
      </c>
      <c r="L44" s="63">
        <f t="shared" si="8"/>
        <v>5576.9</v>
      </c>
      <c r="M44" s="61" t="s">
        <v>32</v>
      </c>
      <c r="N44" s="62">
        <f t="shared" si="8"/>
        <v>1</v>
      </c>
      <c r="O44" s="62" cm="1">
        <f t="array" ref="O44">SUMPRODUCT(--(O38:O43))</f>
        <v>4</v>
      </c>
      <c r="P44" s="64" cm="1">
        <f t="array" ref="P44">SUMPRODUCT(--(P38:P43))</f>
        <v>306</v>
      </c>
      <c r="Q44" s="64">
        <f>SUM(Q38:Q43)</f>
        <v>2</v>
      </c>
      <c r="R44" s="64">
        <f>SUM(R38:R43)</f>
        <v>0</v>
      </c>
      <c r="T44" s="79"/>
    </row>
    <row r="45" spans="1:20" s="2" customFormat="true" ht="17.4" customHeight="true">
      <c r="A45" s="28"/>
      <c r="B45" s="29"/>
      <c r="C45" s="29"/>
      <c r="D45" s="29"/>
      <c r="E45" s="29"/>
      <c r="F45" s="29"/>
      <c r="G45" s="29"/>
      <c r="H45" s="29"/>
      <c r="I45" s="29"/>
      <c r="J45" s="29"/>
      <c r="K45" s="29"/>
      <c r="L45" s="29"/>
      <c r="M45" s="29"/>
      <c r="N45" s="29"/>
      <c r="O45" s="29"/>
      <c r="P45" s="29"/>
      <c r="T45" s="79"/>
    </row>
    <row r="46" spans="1:20" s="1" customFormat="true" ht="10.95" customHeight="true">
      <c r="A46" s="7" t="s">
        <v>3</v>
      </c>
      <c r="B46" s="30" t="s">
        <v>4</v>
      </c>
      <c r="C46" s="30" t="s">
        <v>55</v>
      </c>
      <c r="D46" s="30" t="s">
        <v>6</v>
      </c>
      <c r="E46" s="30" t="s">
        <v>7</v>
      </c>
      <c r="F46" s="30" t="s">
        <v>8</v>
      </c>
      <c r="G46" s="30" t="s">
        <v>9</v>
      </c>
      <c r="H46" s="30"/>
      <c r="I46" s="7" t="s">
        <v>10</v>
      </c>
      <c r="J46" s="7" t="s">
        <v>11</v>
      </c>
      <c r="K46" s="8" t="s">
        <v>12</v>
      </c>
      <c r="L46" s="9"/>
      <c r="M46" s="7" t="s">
        <v>11</v>
      </c>
      <c r="N46" s="52" t="s">
        <v>13</v>
      </c>
      <c r="O46" s="52"/>
      <c r="P46" s="9"/>
      <c r="Q46" s="9" t="s">
        <v>14</v>
      </c>
      <c r="R46" s="9" t="s">
        <v>15</v>
      </c>
      <c r="T46" s="78"/>
    </row>
    <row r="47" spans="1:20" s="1" customFormat="true" ht="16.05" customHeight="true">
      <c r="A47" s="10"/>
      <c r="B47" s="30"/>
      <c r="C47" s="30"/>
      <c r="D47" s="30"/>
      <c r="E47" s="30"/>
      <c r="F47" s="30"/>
      <c r="G47" s="30"/>
      <c r="H47" s="30"/>
      <c r="I47" s="10"/>
      <c r="J47" s="10"/>
      <c r="K47" s="14"/>
      <c r="L47" s="15"/>
      <c r="M47" s="10"/>
      <c r="N47" s="53"/>
      <c r="O47" s="53"/>
      <c r="P47" s="15"/>
      <c r="Q47" s="15"/>
      <c r="R47" s="15"/>
      <c r="T47" s="78"/>
    </row>
    <row r="48" spans="1:20" s="1" customFormat="true" ht="28.95" customHeight="true">
      <c r="A48" s="13"/>
      <c r="B48" s="30"/>
      <c r="C48" s="30"/>
      <c r="D48" s="30"/>
      <c r="E48" s="30"/>
      <c r="F48" s="30"/>
      <c r="G48" s="30"/>
      <c r="H48" s="30"/>
      <c r="I48" s="13"/>
      <c r="J48" s="13"/>
      <c r="K48" s="54" t="s">
        <v>16</v>
      </c>
      <c r="L48" s="55" t="s">
        <v>17</v>
      </c>
      <c r="M48" s="13"/>
      <c r="N48" s="55" t="s">
        <v>18</v>
      </c>
      <c r="O48" s="55" t="s">
        <v>19</v>
      </c>
      <c r="P48" s="55" t="s">
        <v>20</v>
      </c>
      <c r="Q48" s="55" t="s">
        <v>21</v>
      </c>
      <c r="R48" s="55" t="s">
        <v>22</v>
      </c>
      <c r="T48" s="78"/>
    </row>
    <row r="49" spans="1:20" s="2" customFormat="true" ht="13.95" customHeight="true">
      <c r="A49" s="16">
        <v>5</v>
      </c>
      <c r="B49" s="17" t="str">
        <f>=DISPIMG("ID_823A1A361C6E42C9A3EEF6A44066A041",1)</f>
        <v>=DISPIMG("ID_823A1A361C6E42C9A3EEF6A44066A041",1)</v>
      </c>
      <c r="C49" s="18" t="s">
        <v>90</v>
      </c>
      <c r="D49" s="18" t="s">
        <v>85</v>
      </c>
      <c r="E49" s="19"/>
      <c r="F49" s="19"/>
      <c r="G49" s="20" t="s">
        <v>91</v>
      </c>
      <c r="H49" s="21" t="str">
        <f>=DISPIMG("ID_C0128DF2FAF542A89F97D44394DCDD24",1)</f>
        <v>=DISPIMG("ID_C0128DF2FAF542A89F97D44394DCDD24",1)</v>
      </c>
      <c r="I49" s="56">
        <v>17.99</v>
      </c>
      <c r="J49" s="57" t="s">
        <v>26</v>
      </c>
      <c r="K49" s="23">
        <v>0</v>
      </c>
      <c r="L49" s="58">
        <f>I49*K49</f>
        <v>0</v>
      </c>
      <c r="M49" s="57" t="s">
        <v>26</v>
      </c>
      <c r="N49" s="23">
        <v>0</v>
      </c>
      <c r="O49" s="23">
        <f t="shared" ref="O49:O54" si="9">K49-P49</f>
        <v>0</v>
      </c>
      <c r="P49" s="23">
        <v>0</v>
      </c>
      <c r="Q49" s="23"/>
      <c r="R49" s="23"/>
      <c r="T49" s="79"/>
    </row>
    <row r="50" spans="1:20" s="2" customFormat="true">
      <c r="A50" s="16"/>
      <c r="B50" s="16"/>
      <c r="C50" s="22"/>
      <c r="D50" s="22"/>
      <c r="E50" s="23"/>
      <c r="F50" s="23"/>
      <c r="G50" s="20"/>
      <c r="H50" s="21"/>
      <c r="I50" s="59"/>
      <c r="J50" s="57" t="s">
        <v>27</v>
      </c>
      <c r="K50" s="23">
        <v>98</v>
      </c>
      <c r="L50" s="58">
        <f>I49*K50</f>
        <v>1763.02</v>
      </c>
      <c r="M50" s="57" t="s">
        <v>27</v>
      </c>
      <c r="N50" s="23">
        <v>0</v>
      </c>
      <c r="O50" s="23">
        <v>4</v>
      </c>
      <c r="P50" s="23">
        <f t="shared" ref="P50:P52" si="10">MAX(0,K50-O50)</f>
        <v>94</v>
      </c>
      <c r="Q50" s="23">
        <v>0</v>
      </c>
      <c r="R50" s="23"/>
      <c r="T50" s="79"/>
    </row>
    <row r="51" spans="1:20" s="2" customFormat="true">
      <c r="A51" s="16"/>
      <c r="B51" s="16"/>
      <c r="C51" s="22"/>
      <c r="D51" s="22"/>
      <c r="E51" s="23"/>
      <c r="F51" s="23"/>
      <c r="G51" s="20"/>
      <c r="H51" s="21"/>
      <c r="I51" s="59"/>
      <c r="J51" s="57" t="s">
        <v>28</v>
      </c>
      <c r="K51" s="23">
        <v>105</v>
      </c>
      <c r="L51" s="58">
        <f>I49*K51</f>
        <v>1888.95</v>
      </c>
      <c r="M51" s="57" t="s">
        <v>28</v>
      </c>
      <c r="N51" s="23">
        <v>0</v>
      </c>
      <c r="O51" s="23">
        <v>1</v>
      </c>
      <c r="P51" s="23">
        <f t="shared" si="10"/>
        <v>104</v>
      </c>
      <c r="Q51" s="23">
        <v>0</v>
      </c>
      <c r="R51" s="23"/>
      <c r="T51" s="79"/>
    </row>
    <row r="52" spans="1:20" s="2" customFormat="true">
      <c r="A52" s="16"/>
      <c r="B52" s="16"/>
      <c r="C52" s="22"/>
      <c r="D52" s="22"/>
      <c r="E52" s="23"/>
      <c r="F52" s="23"/>
      <c r="G52" s="20"/>
      <c r="H52" s="21"/>
      <c r="I52" s="59"/>
      <c r="J52" s="57" t="s">
        <v>29</v>
      </c>
      <c r="K52" s="23">
        <v>107</v>
      </c>
      <c r="L52" s="58">
        <f>I49*K52</f>
        <v>1924.93</v>
      </c>
      <c r="M52" s="57" t="s">
        <v>29</v>
      </c>
      <c r="N52" s="23">
        <v>0</v>
      </c>
      <c r="O52" s="23">
        <v>0</v>
      </c>
      <c r="P52" s="23">
        <f t="shared" si="10"/>
        <v>107</v>
      </c>
      <c r="Q52" s="23">
        <v>0</v>
      </c>
      <c r="R52" s="23"/>
      <c r="T52" s="79"/>
    </row>
    <row r="53" spans="1:20" s="2" customFormat="true">
      <c r="A53" s="16"/>
      <c r="B53" s="16"/>
      <c r="C53" s="22"/>
      <c r="D53" s="22"/>
      <c r="E53" s="23"/>
      <c r="F53" s="23"/>
      <c r="G53" s="20"/>
      <c r="H53" s="21"/>
      <c r="I53" s="59"/>
      <c r="J53" s="57" t="s">
        <v>30</v>
      </c>
      <c r="K53" s="23">
        <v>0</v>
      </c>
      <c r="L53" s="58">
        <f>I49*K53</f>
        <v>0</v>
      </c>
      <c r="M53" s="57" t="s">
        <v>30</v>
      </c>
      <c r="N53" s="23">
        <v>0</v>
      </c>
      <c r="O53" s="23">
        <f t="shared" si="9"/>
        <v>0</v>
      </c>
      <c r="P53" s="23">
        <v>0</v>
      </c>
      <c r="Q53" s="23"/>
      <c r="R53" s="23"/>
      <c r="T53" s="79"/>
    </row>
    <row r="54" spans="1:20" s="2" customFormat="true">
      <c r="A54" s="16"/>
      <c r="B54" s="16"/>
      <c r="C54" s="22"/>
      <c r="D54" s="22"/>
      <c r="E54" s="23"/>
      <c r="F54" s="23"/>
      <c r="G54" s="20"/>
      <c r="H54" s="21"/>
      <c r="I54" s="60"/>
      <c r="J54" s="23" t="s">
        <v>31</v>
      </c>
      <c r="K54" s="23">
        <v>0</v>
      </c>
      <c r="L54" s="58">
        <f>I49*K54</f>
        <v>0</v>
      </c>
      <c r="M54" s="23" t="s">
        <v>31</v>
      </c>
      <c r="N54" s="23">
        <v>0</v>
      </c>
      <c r="O54" s="23">
        <f t="shared" si="9"/>
        <v>0</v>
      </c>
      <c r="P54" s="23">
        <v>0</v>
      </c>
      <c r="Q54" s="23"/>
      <c r="R54" s="23"/>
      <c r="T54" s="79"/>
    </row>
    <row r="55" spans="1:20" s="2" customFormat="true">
      <c r="A55" s="24"/>
      <c r="B55" s="24"/>
      <c r="C55" s="25"/>
      <c r="D55" s="25"/>
      <c r="E55" s="23"/>
      <c r="F55" s="23"/>
      <c r="G55" s="26"/>
      <c r="H55" s="27"/>
      <c r="I55" s="62"/>
      <c r="J55" s="61" t="s">
        <v>32</v>
      </c>
      <c r="K55" s="62">
        <f t="shared" ref="K55:N55" si="11">SUM(K49:K54)</f>
        <v>310</v>
      </c>
      <c r="L55" s="63">
        <f t="shared" si="11"/>
        <v>5576.9</v>
      </c>
      <c r="M55" s="61" t="s">
        <v>32</v>
      </c>
      <c r="N55" s="62">
        <f t="shared" si="11"/>
        <v>0</v>
      </c>
      <c r="O55" s="62" cm="1">
        <f t="array" ref="O55">SUMPRODUCT(--(O49:O54))</f>
        <v>5</v>
      </c>
      <c r="P55" s="64" cm="1">
        <f t="array" ref="P55">SUMPRODUCT(--(P49:P54))</f>
        <v>305</v>
      </c>
      <c r="Q55" s="64">
        <f>SUM(Q49:Q54)</f>
        <v>0</v>
      </c>
      <c r="R55" s="64">
        <f>SUM(R49:R54)</f>
        <v>0</v>
      </c>
      <c r="T55" s="79"/>
    </row>
    <row r="56" spans="1:20" s="2" customFormat="true" ht="17.4" customHeight="true">
      <c r="A56" s="28"/>
      <c r="B56" s="29"/>
      <c r="C56" s="29"/>
      <c r="D56" s="29"/>
      <c r="E56" s="29"/>
      <c r="F56" s="29"/>
      <c r="G56" s="29"/>
      <c r="H56" s="29"/>
      <c r="I56" s="29"/>
      <c r="J56" s="29"/>
      <c r="K56" s="29"/>
      <c r="L56" s="29"/>
      <c r="M56" s="29"/>
      <c r="N56" s="29"/>
      <c r="O56" s="29"/>
      <c r="P56" s="29"/>
      <c r="Q56" s="29"/>
      <c r="R56" s="29"/>
      <c r="T56" s="79"/>
    </row>
    <row r="57" spans="1:20" s="1" customFormat="true" ht="10.95" customHeight="true">
      <c r="A57" s="7" t="s">
        <v>3</v>
      </c>
      <c r="B57" s="30" t="s">
        <v>4</v>
      </c>
      <c r="C57" s="30" t="s">
        <v>55</v>
      </c>
      <c r="D57" s="30" t="s">
        <v>6</v>
      </c>
      <c r="E57" s="30" t="s">
        <v>7</v>
      </c>
      <c r="F57" s="30" t="s">
        <v>8</v>
      </c>
      <c r="G57" s="30" t="s">
        <v>9</v>
      </c>
      <c r="H57" s="30"/>
      <c r="I57" s="7" t="s">
        <v>10</v>
      </c>
      <c r="J57" s="7" t="s">
        <v>11</v>
      </c>
      <c r="K57" s="8" t="s">
        <v>12</v>
      </c>
      <c r="L57" s="9"/>
      <c r="M57" s="7" t="s">
        <v>11</v>
      </c>
      <c r="N57" s="52" t="s">
        <v>13</v>
      </c>
      <c r="O57" s="52"/>
      <c r="P57" s="9"/>
      <c r="Q57" s="9" t="s">
        <v>14</v>
      </c>
      <c r="R57" s="9" t="s">
        <v>15</v>
      </c>
      <c r="T57" s="78"/>
    </row>
    <row r="58" spans="1:20" s="1" customFormat="true" ht="16.05" customHeight="true">
      <c r="A58" s="10"/>
      <c r="B58" s="30"/>
      <c r="C58" s="30"/>
      <c r="D58" s="30"/>
      <c r="E58" s="30"/>
      <c r="F58" s="30"/>
      <c r="G58" s="30"/>
      <c r="H58" s="30"/>
      <c r="I58" s="10"/>
      <c r="J58" s="10"/>
      <c r="K58" s="14"/>
      <c r="L58" s="15"/>
      <c r="M58" s="10"/>
      <c r="N58" s="53"/>
      <c r="O58" s="53"/>
      <c r="P58" s="15"/>
      <c r="Q58" s="15"/>
      <c r="R58" s="15"/>
      <c r="T58" s="78"/>
    </row>
    <row r="59" spans="1:20" s="1" customFormat="true" ht="17.4">
      <c r="A59" s="13"/>
      <c r="B59" s="30"/>
      <c r="C59" s="30"/>
      <c r="D59" s="30"/>
      <c r="E59" s="30"/>
      <c r="F59" s="30"/>
      <c r="G59" s="30"/>
      <c r="H59" s="30"/>
      <c r="I59" s="13"/>
      <c r="J59" s="13"/>
      <c r="K59" s="54" t="s">
        <v>16</v>
      </c>
      <c r="L59" s="55" t="s">
        <v>17</v>
      </c>
      <c r="M59" s="13"/>
      <c r="N59" s="55" t="s">
        <v>18</v>
      </c>
      <c r="O59" s="55" t="s">
        <v>19</v>
      </c>
      <c r="P59" s="55" t="s">
        <v>20</v>
      </c>
      <c r="Q59" s="55" t="s">
        <v>21</v>
      </c>
      <c r="R59" s="55" t="s">
        <v>22</v>
      </c>
      <c r="T59" s="78"/>
    </row>
    <row r="60" spans="1:20" s="2" customFormat="true" ht="13.95" customHeight="true">
      <c r="A60" s="16">
        <v>6</v>
      </c>
      <c r="B60" s="17" t="str">
        <f>=DISPIMG("ID_2042ED63B4674E09A16993BB8F2D8B0F",1)</f>
        <v>=DISPIMG("ID_2042ED63B4674E09A16993BB8F2D8B0F",1)</v>
      </c>
      <c r="C60" s="18" t="s">
        <v>92</v>
      </c>
      <c r="D60" s="18" t="s">
        <v>85</v>
      </c>
      <c r="E60" s="19"/>
      <c r="F60" s="19"/>
      <c r="G60" s="20" t="s">
        <v>42</v>
      </c>
      <c r="H60" s="21" t="str">
        <f>=DISPIMG("ID_DCDD6B5B1EF74D888D7B2E950D0AC4D6",1)</f>
        <v>=DISPIMG("ID_DCDD6B5B1EF74D888D7B2E950D0AC4D6",1)</v>
      </c>
      <c r="I60" s="56">
        <v>17.99</v>
      </c>
      <c r="J60" s="57" t="s">
        <v>26</v>
      </c>
      <c r="K60" s="23">
        <v>120</v>
      </c>
      <c r="L60" s="58">
        <f>I60*K60</f>
        <v>2158.8</v>
      </c>
      <c r="M60" s="57" t="s">
        <v>26</v>
      </c>
      <c r="N60" s="23">
        <v>0</v>
      </c>
      <c r="O60" s="23">
        <v>124</v>
      </c>
      <c r="P60" s="23">
        <f t="shared" ref="P60:P65" si="12">MAX(0,K60-O60)</f>
        <v>0</v>
      </c>
      <c r="Q60" s="23">
        <v>12</v>
      </c>
      <c r="R60" s="23"/>
      <c r="T60" s="79"/>
    </row>
    <row r="61" spans="1:20" s="2" customFormat="true">
      <c r="A61" s="16"/>
      <c r="B61" s="16"/>
      <c r="C61" s="22"/>
      <c r="D61" s="22"/>
      <c r="E61" s="23"/>
      <c r="F61" s="23"/>
      <c r="G61" s="20"/>
      <c r="H61" s="21"/>
      <c r="I61" s="59"/>
      <c r="J61" s="57" t="s">
        <v>27</v>
      </c>
      <c r="K61" s="23">
        <v>236</v>
      </c>
      <c r="L61" s="58">
        <f>I60*K61</f>
        <v>4245.64</v>
      </c>
      <c r="M61" s="57" t="s">
        <v>27</v>
      </c>
      <c r="N61" s="23">
        <v>0</v>
      </c>
      <c r="O61" s="23">
        <v>245</v>
      </c>
      <c r="P61" s="23">
        <f t="shared" si="12"/>
        <v>0</v>
      </c>
      <c r="Q61" s="23">
        <v>45</v>
      </c>
      <c r="R61" s="23"/>
      <c r="T61" s="79"/>
    </row>
    <row r="62" spans="1:20" s="2" customFormat="true">
      <c r="A62" s="16"/>
      <c r="B62" s="16"/>
      <c r="C62" s="22"/>
      <c r="D62" s="22"/>
      <c r="E62" s="23"/>
      <c r="F62" s="23"/>
      <c r="G62" s="20"/>
      <c r="H62" s="21"/>
      <c r="I62" s="59"/>
      <c r="J62" s="57" t="s">
        <v>28</v>
      </c>
      <c r="K62" s="23">
        <v>233</v>
      </c>
      <c r="L62" s="58">
        <f>I60*K62</f>
        <v>4191.67</v>
      </c>
      <c r="M62" s="57" t="s">
        <v>28</v>
      </c>
      <c r="N62" s="23">
        <v>0</v>
      </c>
      <c r="O62" s="23">
        <v>235</v>
      </c>
      <c r="P62" s="23">
        <f t="shared" si="12"/>
        <v>0</v>
      </c>
      <c r="Q62" s="23">
        <v>33</v>
      </c>
      <c r="R62" s="23"/>
      <c r="T62" s="79"/>
    </row>
    <row r="63" spans="1:20" s="2" customFormat="true">
      <c r="A63" s="16"/>
      <c r="B63" s="16"/>
      <c r="C63" s="22"/>
      <c r="D63" s="22"/>
      <c r="E63" s="23"/>
      <c r="F63" s="23"/>
      <c r="G63" s="20"/>
      <c r="H63" s="21"/>
      <c r="I63" s="59"/>
      <c r="J63" s="57" t="s">
        <v>29</v>
      </c>
      <c r="K63" s="23">
        <v>216</v>
      </c>
      <c r="L63" s="58">
        <f>I60*K63</f>
        <v>3885.84</v>
      </c>
      <c r="M63" s="57" t="s">
        <v>29</v>
      </c>
      <c r="N63" s="23">
        <v>0</v>
      </c>
      <c r="O63" s="23">
        <v>165</v>
      </c>
      <c r="P63" s="23">
        <f t="shared" si="12"/>
        <v>51</v>
      </c>
      <c r="Q63" s="23">
        <v>25</v>
      </c>
      <c r="R63" s="23"/>
      <c r="T63" s="79"/>
    </row>
    <row r="64" spans="1:20" s="2" customFormat="true">
      <c r="A64" s="16"/>
      <c r="B64" s="16"/>
      <c r="C64" s="22"/>
      <c r="D64" s="22"/>
      <c r="E64" s="23"/>
      <c r="F64" s="23"/>
      <c r="G64" s="20"/>
      <c r="H64" s="21"/>
      <c r="I64" s="59"/>
      <c r="J64" s="57" t="s">
        <v>30</v>
      </c>
      <c r="K64" s="23">
        <v>182</v>
      </c>
      <c r="L64" s="58">
        <f>I60*K64</f>
        <v>3274.18</v>
      </c>
      <c r="M64" s="57" t="s">
        <v>30</v>
      </c>
      <c r="N64" s="23">
        <v>0</v>
      </c>
      <c r="O64" s="23">
        <v>43</v>
      </c>
      <c r="P64" s="23">
        <f t="shared" si="12"/>
        <v>139</v>
      </c>
      <c r="Q64" s="23">
        <v>6</v>
      </c>
      <c r="R64" s="23"/>
      <c r="T64" s="79"/>
    </row>
    <row r="65" spans="1:20" s="2" customFormat="true">
      <c r="A65" s="16"/>
      <c r="B65" s="16"/>
      <c r="C65" s="22"/>
      <c r="D65" s="22"/>
      <c r="E65" s="23"/>
      <c r="F65" s="23"/>
      <c r="G65" s="20"/>
      <c r="H65" s="21"/>
      <c r="I65" s="60"/>
      <c r="J65" s="23" t="s">
        <v>31</v>
      </c>
      <c r="K65" s="23">
        <v>110</v>
      </c>
      <c r="L65" s="58">
        <f>I60*K65</f>
        <v>1978.9</v>
      </c>
      <c r="M65" s="23" t="s">
        <v>31</v>
      </c>
      <c r="N65" s="23">
        <v>0</v>
      </c>
      <c r="O65" s="23">
        <v>24</v>
      </c>
      <c r="P65" s="23">
        <f t="shared" si="12"/>
        <v>86</v>
      </c>
      <c r="Q65" s="23">
        <v>5</v>
      </c>
      <c r="R65" s="23"/>
      <c r="T65" s="79"/>
    </row>
    <row r="66" spans="1:20" s="2" customFormat="true">
      <c r="A66" s="24"/>
      <c r="B66" s="24"/>
      <c r="C66" s="25"/>
      <c r="D66" s="25"/>
      <c r="E66" s="23"/>
      <c r="F66" s="23"/>
      <c r="G66" s="26"/>
      <c r="H66" s="27"/>
      <c r="I66" s="62"/>
      <c r="J66" s="61" t="s">
        <v>32</v>
      </c>
      <c r="K66" s="62">
        <f t="shared" ref="K66:N66" si="13">SUM(K60:K65)</f>
        <v>1097</v>
      </c>
      <c r="L66" s="63">
        <f t="shared" si="13"/>
        <v>19735.03</v>
      </c>
      <c r="M66" s="61" t="s">
        <v>32</v>
      </c>
      <c r="N66" s="62">
        <f t="shared" si="13"/>
        <v>0</v>
      </c>
      <c r="O66" s="62" cm="1">
        <f t="array" ref="O66">SUMPRODUCT(--(O60:O65))</f>
        <v>836</v>
      </c>
      <c r="P66" s="64" cm="1">
        <f t="array" ref="P66">SUMPRODUCT(--(P60:P65))</f>
        <v>276</v>
      </c>
      <c r="Q66" s="64">
        <f>SUM(Q60:Q65)</f>
        <v>126</v>
      </c>
      <c r="R66" s="64">
        <f>SUM(R60:R65)</f>
        <v>0</v>
      </c>
      <c r="T66" s="79"/>
    </row>
    <row r="67" spans="1:16" s="3" customFormat="true">
      <c r="A67" s="4"/>
      <c r="B67" s="4"/>
      <c r="C67" s="31"/>
      <c r="D67" s="31"/>
      <c r="E67" s="31"/>
      <c r="F67" s="31"/>
      <c r="G67" s="31"/>
      <c r="H67" s="31"/>
      <c r="I67" s="65"/>
      <c r="J67" s="31"/>
      <c r="K67" s="65"/>
      <c r="L67" s="65"/>
      <c r="M67" s="31"/>
      <c r="N67" s="65"/>
      <c r="O67" s="65"/>
      <c r="P67" s="65"/>
    </row>
    <row r="68" spans="1:20" s="1" customFormat="true" ht="10.95" customHeight="true">
      <c r="A68" s="7" t="s">
        <v>3</v>
      </c>
      <c r="B68" s="30" t="s">
        <v>4</v>
      </c>
      <c r="C68" s="30" t="s">
        <v>55</v>
      </c>
      <c r="D68" s="30" t="s">
        <v>6</v>
      </c>
      <c r="E68" s="30" t="s">
        <v>7</v>
      </c>
      <c r="F68" s="30" t="s">
        <v>8</v>
      </c>
      <c r="G68" s="30" t="s">
        <v>9</v>
      </c>
      <c r="H68" s="30"/>
      <c r="I68" s="7" t="s">
        <v>10</v>
      </c>
      <c r="J68" s="7" t="s">
        <v>11</v>
      </c>
      <c r="K68" s="8" t="s">
        <v>12</v>
      </c>
      <c r="L68" s="9"/>
      <c r="M68" s="7" t="s">
        <v>11</v>
      </c>
      <c r="N68" s="52" t="s">
        <v>13</v>
      </c>
      <c r="O68" s="52"/>
      <c r="P68" s="9"/>
      <c r="Q68" s="9" t="s">
        <v>14</v>
      </c>
      <c r="R68" s="9" t="s">
        <v>15</v>
      </c>
      <c r="T68" s="78"/>
    </row>
    <row r="69" spans="1:20" s="1" customFormat="true" ht="16.05" customHeight="true">
      <c r="A69" s="10"/>
      <c r="B69" s="30"/>
      <c r="C69" s="30"/>
      <c r="D69" s="30"/>
      <c r="E69" s="30"/>
      <c r="F69" s="30"/>
      <c r="G69" s="30"/>
      <c r="H69" s="30"/>
      <c r="I69" s="10"/>
      <c r="J69" s="10"/>
      <c r="K69" s="14"/>
      <c r="L69" s="15"/>
      <c r="M69" s="10"/>
      <c r="N69" s="53"/>
      <c r="O69" s="53"/>
      <c r="P69" s="15"/>
      <c r="Q69" s="15"/>
      <c r="R69" s="15"/>
      <c r="T69" s="78"/>
    </row>
    <row r="70" spans="1:20" s="1" customFormat="true" ht="17.4">
      <c r="A70" s="13"/>
      <c r="B70" s="30"/>
      <c r="C70" s="30"/>
      <c r="D70" s="30"/>
      <c r="E70" s="30"/>
      <c r="F70" s="30"/>
      <c r="G70" s="30"/>
      <c r="H70" s="30"/>
      <c r="I70" s="13"/>
      <c r="J70" s="13"/>
      <c r="K70" s="54" t="s">
        <v>16</v>
      </c>
      <c r="L70" s="55" t="s">
        <v>17</v>
      </c>
      <c r="M70" s="13"/>
      <c r="N70" s="55" t="s">
        <v>18</v>
      </c>
      <c r="O70" s="55" t="s">
        <v>19</v>
      </c>
      <c r="P70" s="55" t="s">
        <v>20</v>
      </c>
      <c r="Q70" s="55" t="s">
        <v>21</v>
      </c>
      <c r="R70" s="55" t="s">
        <v>22</v>
      </c>
      <c r="T70" s="78"/>
    </row>
    <row r="71" spans="1:20" s="2" customFormat="true" ht="13.95" customHeight="true">
      <c r="A71" s="16">
        <v>7</v>
      </c>
      <c r="B71" s="17" t="str">
        <f>=DISPIMG("ID_CA96676ECED34CCB82321AEF7996C68D",1)</f>
        <v>=DISPIMG("ID_CA96676ECED34CCB82321AEF7996C68D",1)</v>
      </c>
      <c r="C71" s="18" t="s">
        <v>93</v>
      </c>
      <c r="D71" s="18" t="s">
        <v>85</v>
      </c>
      <c r="E71" s="19"/>
      <c r="F71" s="19"/>
      <c r="G71" s="20" t="s">
        <v>44</v>
      </c>
      <c r="H71" s="21" t="str">
        <f>=DISPIMG("ID_F42B14723A2C4FA597DDAF2DE47CEE9C",1)</f>
        <v>=DISPIMG("ID_F42B14723A2C4FA597DDAF2DE47CEE9C",1)</v>
      </c>
      <c r="I71" s="56">
        <v>17.99</v>
      </c>
      <c r="J71" s="57" t="s">
        <v>26</v>
      </c>
      <c r="K71" s="23">
        <v>123</v>
      </c>
      <c r="L71" s="58">
        <f>I71*K71</f>
        <v>2212.77</v>
      </c>
      <c r="M71" s="57" t="s">
        <v>26</v>
      </c>
      <c r="N71" s="23">
        <v>0</v>
      </c>
      <c r="O71" s="23">
        <v>63</v>
      </c>
      <c r="P71" s="23">
        <f t="shared" ref="P71:P76" si="14">MAX(0,K71-O71)</f>
        <v>60</v>
      </c>
      <c r="Q71" s="23">
        <v>7</v>
      </c>
      <c r="R71" s="23"/>
      <c r="T71" s="79"/>
    </row>
    <row r="72" spans="1:20" s="2" customFormat="true">
      <c r="A72" s="16"/>
      <c r="B72" s="16"/>
      <c r="C72" s="22"/>
      <c r="D72" s="22"/>
      <c r="E72" s="23"/>
      <c r="F72" s="23"/>
      <c r="G72" s="20"/>
      <c r="H72" s="21"/>
      <c r="I72" s="59"/>
      <c r="J72" s="57" t="s">
        <v>27</v>
      </c>
      <c r="K72" s="23">
        <v>261</v>
      </c>
      <c r="L72" s="58">
        <f>I71*K72</f>
        <v>4695.39</v>
      </c>
      <c r="M72" s="57" t="s">
        <v>27</v>
      </c>
      <c r="N72" s="23">
        <v>0</v>
      </c>
      <c r="O72" s="23">
        <v>94</v>
      </c>
      <c r="P72" s="23">
        <f t="shared" si="14"/>
        <v>167</v>
      </c>
      <c r="Q72" s="23">
        <v>13</v>
      </c>
      <c r="R72" s="23"/>
      <c r="T72" s="79"/>
    </row>
    <row r="73" spans="1:20" s="2" customFormat="true">
      <c r="A73" s="16"/>
      <c r="B73" s="16"/>
      <c r="C73" s="22"/>
      <c r="D73" s="22"/>
      <c r="E73" s="23"/>
      <c r="F73" s="23"/>
      <c r="G73" s="20"/>
      <c r="H73" s="21"/>
      <c r="I73" s="59"/>
      <c r="J73" s="57" t="s">
        <v>28</v>
      </c>
      <c r="K73" s="23">
        <v>262</v>
      </c>
      <c r="L73" s="58">
        <f>I71*K73</f>
        <v>4713.38</v>
      </c>
      <c r="M73" s="57" t="s">
        <v>28</v>
      </c>
      <c r="N73" s="23">
        <v>0</v>
      </c>
      <c r="O73" s="23">
        <v>52</v>
      </c>
      <c r="P73" s="23">
        <f t="shared" si="14"/>
        <v>210</v>
      </c>
      <c r="Q73" s="23">
        <v>15</v>
      </c>
      <c r="R73" s="23"/>
      <c r="T73" s="79"/>
    </row>
    <row r="74" spans="1:20" s="2" customFormat="true">
      <c r="A74" s="16"/>
      <c r="B74" s="16"/>
      <c r="C74" s="22"/>
      <c r="D74" s="22"/>
      <c r="E74" s="23"/>
      <c r="F74" s="23"/>
      <c r="G74" s="20"/>
      <c r="H74" s="21"/>
      <c r="I74" s="59"/>
      <c r="J74" s="57" t="s">
        <v>29</v>
      </c>
      <c r="K74" s="23">
        <v>211</v>
      </c>
      <c r="L74" s="58">
        <f>I71*K74</f>
        <v>3795.89</v>
      </c>
      <c r="M74" s="57" t="s">
        <v>29</v>
      </c>
      <c r="N74" s="23">
        <v>0</v>
      </c>
      <c r="O74" s="23">
        <v>23</v>
      </c>
      <c r="P74" s="23">
        <f t="shared" si="14"/>
        <v>188</v>
      </c>
      <c r="Q74" s="23">
        <v>4</v>
      </c>
      <c r="R74" s="23"/>
      <c r="T74" s="79"/>
    </row>
    <row r="75" spans="1:20" s="2" customFormat="true">
      <c r="A75" s="16"/>
      <c r="B75" s="16"/>
      <c r="C75" s="22"/>
      <c r="D75" s="22"/>
      <c r="E75" s="23"/>
      <c r="F75" s="23"/>
      <c r="G75" s="20"/>
      <c r="H75" s="21"/>
      <c r="I75" s="59"/>
      <c r="J75" s="57" t="s">
        <v>30</v>
      </c>
      <c r="K75" s="23">
        <v>175</v>
      </c>
      <c r="L75" s="58">
        <f>I71*K75</f>
        <v>3148.25</v>
      </c>
      <c r="M75" s="57" t="s">
        <v>30</v>
      </c>
      <c r="N75" s="23">
        <v>0</v>
      </c>
      <c r="O75" s="23">
        <v>9</v>
      </c>
      <c r="P75" s="23">
        <f t="shared" si="14"/>
        <v>166</v>
      </c>
      <c r="Q75" s="23">
        <v>1</v>
      </c>
      <c r="R75" s="23"/>
      <c r="T75" s="79"/>
    </row>
    <row r="76" spans="1:20" s="2" customFormat="true">
      <c r="A76" s="16"/>
      <c r="B76" s="16"/>
      <c r="C76" s="22"/>
      <c r="D76" s="22"/>
      <c r="E76" s="23"/>
      <c r="F76" s="23"/>
      <c r="G76" s="20"/>
      <c r="H76" s="21"/>
      <c r="I76" s="60"/>
      <c r="J76" s="23" t="s">
        <v>31</v>
      </c>
      <c r="K76" s="23">
        <v>102</v>
      </c>
      <c r="L76" s="58">
        <f>I71*K76</f>
        <v>1834.98</v>
      </c>
      <c r="M76" s="23" t="s">
        <v>31</v>
      </c>
      <c r="N76" s="62">
        <v>0</v>
      </c>
      <c r="O76" s="23">
        <v>9</v>
      </c>
      <c r="P76" s="23">
        <f t="shared" si="14"/>
        <v>93</v>
      </c>
      <c r="Q76" s="23">
        <v>1</v>
      </c>
      <c r="R76" s="23"/>
      <c r="T76" s="79"/>
    </row>
    <row r="77" spans="1:20" s="2" customFormat="true">
      <c r="A77" s="24"/>
      <c r="B77" s="24"/>
      <c r="C77" s="25"/>
      <c r="D77" s="25"/>
      <c r="E77" s="23"/>
      <c r="F77" s="23"/>
      <c r="G77" s="26"/>
      <c r="H77" s="27"/>
      <c r="I77" s="62"/>
      <c r="J77" s="61" t="s">
        <v>32</v>
      </c>
      <c r="K77" s="62">
        <f t="shared" ref="K77:N77" si="15">SUM(K71:K76)</f>
        <v>1134</v>
      </c>
      <c r="L77" s="63">
        <f t="shared" si="15"/>
        <v>20400.66</v>
      </c>
      <c r="M77" s="61" t="s">
        <v>32</v>
      </c>
      <c r="N77" s="62">
        <f t="shared" si="15"/>
        <v>0</v>
      </c>
      <c r="O77" s="62" cm="1">
        <f t="array" ref="O77">SUMPRODUCT(--(O71:O76))</f>
        <v>250</v>
      </c>
      <c r="P77" s="64" cm="1">
        <f t="array" ref="P77">SUMPRODUCT(--(P71:P76))</f>
        <v>884</v>
      </c>
      <c r="Q77" s="64">
        <f>SUM(Q71:Q76)</f>
        <v>41</v>
      </c>
      <c r="R77" s="64">
        <f>SUM(R71:R76)</f>
        <v>0</v>
      </c>
      <c r="T77" s="79"/>
    </row>
    <row r="78" spans="1:16" s="3" customFormat="true">
      <c r="A78" s="4"/>
      <c r="B78" s="4"/>
      <c r="C78" s="31"/>
      <c r="D78" s="31"/>
      <c r="E78" s="31"/>
      <c r="F78" s="31"/>
      <c r="G78" s="31"/>
      <c r="H78" s="31"/>
      <c r="I78" s="65"/>
      <c r="J78" s="31"/>
      <c r="K78" s="65"/>
      <c r="L78" s="65"/>
      <c r="M78" s="31"/>
      <c r="N78" s="65"/>
      <c r="O78" s="65"/>
      <c r="P78" s="65"/>
    </row>
    <row r="79"/>
    <row r="80" spans="1:14" ht="46" customHeight="true">
      <c r="A80" s="32" t="s">
        <v>45</v>
      </c>
      <c r="B80" s="33"/>
      <c r="C80" s="35" t="s">
        <v>55</v>
      </c>
      <c r="D80" s="35" t="s">
        <v>6</v>
      </c>
      <c r="E80" s="35" t="s">
        <v>7</v>
      </c>
      <c r="F80" s="35" t="s">
        <v>8</v>
      </c>
      <c r="G80" s="32" t="s">
        <v>9</v>
      </c>
      <c r="H80" s="33"/>
      <c r="I80" s="34" t="s">
        <v>46</v>
      </c>
      <c r="J80" s="34" t="s">
        <v>47</v>
      </c>
      <c r="K80" s="66" t="s">
        <v>48</v>
      </c>
      <c r="L80" s="67"/>
      <c r="M80" s="32" t="s">
        <v>49</v>
      </c>
      <c r="N80" s="33"/>
    </row>
    <row r="81" spans="1:14" ht="25.05" customHeight="true">
      <c r="A81" s="36" t="s">
        <v>50</v>
      </c>
      <c r="B81" s="37"/>
      <c r="C81" s="18" t="s">
        <v>94</v>
      </c>
      <c r="D81" s="18" t="s">
        <v>85</v>
      </c>
      <c r="E81" s="38"/>
      <c r="F81" s="38"/>
      <c r="G81" s="39" t="s">
        <v>95</v>
      </c>
      <c r="H81" s="40"/>
      <c r="I81" s="68" t="str">
        <f>SUM(K11,K22,K33,K44,K55,K66,K77)&amp;"件"</f>
        <v>5615件</v>
      </c>
      <c r="J81" s="68" t="str">
        <f>SUM(O11,O22,O33,O44,O55,O66,O77)&amp;"件"</f>
        <v>1559件</v>
      </c>
      <c r="K81" s="69" t="str">
        <f>SUM(P11,P22,P33,P44,P55,P66,P77)&amp;"件"</f>
        <v>4071件</v>
      </c>
      <c r="L81" s="70"/>
      <c r="M81" s="71"/>
      <c r="N81" s="70"/>
    </row>
    <row r="82" spans="1:14" ht="25.05" customHeight="true">
      <c r="A82" s="41"/>
      <c r="B82" s="42"/>
      <c r="C82" s="22"/>
      <c r="D82" s="22"/>
      <c r="E82" s="43"/>
      <c r="F82" s="43"/>
      <c r="G82" s="44"/>
      <c r="H82" s="45"/>
      <c r="I82" s="16"/>
      <c r="J82" s="16"/>
      <c r="K82" s="72"/>
      <c r="L82" s="73"/>
      <c r="M82" s="74"/>
      <c r="N82" s="73"/>
    </row>
    <row r="83" spans="1:14">
      <c r="A83" s="41"/>
      <c r="B83" s="42"/>
      <c r="C83" s="22"/>
      <c r="D83" s="22"/>
      <c r="E83" s="43"/>
      <c r="F83" s="43"/>
      <c r="G83" s="44"/>
      <c r="H83" s="45"/>
      <c r="I83" s="16"/>
      <c r="J83" s="16"/>
      <c r="K83" s="72"/>
      <c r="L83" s="73"/>
      <c r="M83" s="74"/>
      <c r="N83" s="73"/>
    </row>
    <row r="84" spans="1:14">
      <c r="A84" s="41"/>
      <c r="B84" s="42"/>
      <c r="C84" s="22"/>
      <c r="D84" s="22"/>
      <c r="E84" s="43"/>
      <c r="F84" s="43"/>
      <c r="G84" s="44"/>
      <c r="H84" s="45"/>
      <c r="I84" s="16"/>
      <c r="J84" s="16"/>
      <c r="K84" s="72"/>
      <c r="L84" s="73"/>
      <c r="M84" s="74"/>
      <c r="N84" s="73"/>
    </row>
    <row r="85" spans="1:14">
      <c r="A85" s="41"/>
      <c r="B85" s="42"/>
      <c r="C85" s="22"/>
      <c r="D85" s="22"/>
      <c r="E85" s="43"/>
      <c r="F85" s="43"/>
      <c r="G85" s="44"/>
      <c r="H85" s="45"/>
      <c r="I85" s="16"/>
      <c r="J85" s="16"/>
      <c r="K85" s="72"/>
      <c r="L85" s="73"/>
      <c r="M85" s="74"/>
      <c r="N85" s="73"/>
    </row>
    <row r="86" spans="1:14" customHeight="true">
      <c r="A86" s="41"/>
      <c r="B86" s="42"/>
      <c r="C86" s="22"/>
      <c r="D86" s="22"/>
      <c r="E86" s="43"/>
      <c r="F86" s="43"/>
      <c r="G86" s="44"/>
      <c r="H86" s="45"/>
      <c r="I86" s="16"/>
      <c r="J86" s="16"/>
      <c r="K86" s="72"/>
      <c r="L86" s="73"/>
      <c r="M86" s="74"/>
      <c r="N86" s="73"/>
    </row>
    <row r="87" spans="1:14">
      <c r="A87" s="46"/>
      <c r="B87" s="47"/>
      <c r="C87" s="25"/>
      <c r="D87" s="25"/>
      <c r="E87" s="48"/>
      <c r="F87" s="48"/>
      <c r="G87" s="49"/>
      <c r="H87" s="50"/>
      <c r="I87" s="24"/>
      <c r="J87" s="24"/>
      <c r="K87" s="75"/>
      <c r="L87" s="76"/>
      <c r="M87" s="77"/>
      <c r="N87" s="76"/>
    </row>
  </sheetData>
  <mergeCells count="183">
    <mergeCell ref="A1:L1"/>
    <mergeCell ref="M1:O1"/>
    <mergeCell ref="P1:R1"/>
    <mergeCell ref="A12:P12"/>
    <mergeCell ref="A23:P23"/>
    <mergeCell ref="A34:P34"/>
    <mergeCell ref="A45:P45"/>
    <mergeCell ref="A56:P56"/>
    <mergeCell ref="A80:B80"/>
    <mergeCell ref="G80:H80"/>
    <mergeCell ref="K80:L80"/>
    <mergeCell ref="M80:N80"/>
    <mergeCell ref="A2:A4"/>
    <mergeCell ref="A5:A11"/>
    <mergeCell ref="A13:A15"/>
    <mergeCell ref="A16:A21"/>
    <mergeCell ref="A24:A26"/>
    <mergeCell ref="A27:A33"/>
    <mergeCell ref="A35:A37"/>
    <mergeCell ref="A38:A44"/>
    <mergeCell ref="A46:A48"/>
    <mergeCell ref="A49:A55"/>
    <mergeCell ref="A57:A59"/>
    <mergeCell ref="A60:A66"/>
    <mergeCell ref="A68:A70"/>
    <mergeCell ref="A71:A77"/>
    <mergeCell ref="B2:B4"/>
    <mergeCell ref="B5:B11"/>
    <mergeCell ref="B13:B15"/>
    <mergeCell ref="B16:B22"/>
    <mergeCell ref="B24:B26"/>
    <mergeCell ref="B27:B33"/>
    <mergeCell ref="B35:B37"/>
    <mergeCell ref="B38:B44"/>
    <mergeCell ref="B46:B48"/>
    <mergeCell ref="B49:B55"/>
    <mergeCell ref="B57:B59"/>
    <mergeCell ref="B60:B66"/>
    <mergeCell ref="B68:B70"/>
    <mergeCell ref="B71:B77"/>
    <mergeCell ref="C2:C4"/>
    <mergeCell ref="C5:C11"/>
    <mergeCell ref="C13:C15"/>
    <mergeCell ref="C16:C22"/>
    <mergeCell ref="C24:C26"/>
    <mergeCell ref="C27:C33"/>
    <mergeCell ref="C35:C37"/>
    <mergeCell ref="C38:C44"/>
    <mergeCell ref="C46:C48"/>
    <mergeCell ref="C49:C55"/>
    <mergeCell ref="C57:C59"/>
    <mergeCell ref="C60:C66"/>
    <mergeCell ref="C68:C70"/>
    <mergeCell ref="C71:C77"/>
    <mergeCell ref="C81:C87"/>
    <mergeCell ref="D2:D4"/>
    <mergeCell ref="D5:D11"/>
    <mergeCell ref="D13:D15"/>
    <mergeCell ref="D16:D22"/>
    <mergeCell ref="D24:D26"/>
    <mergeCell ref="D27:D33"/>
    <mergeCell ref="D35:D37"/>
    <mergeCell ref="D38:D44"/>
    <mergeCell ref="D46:D48"/>
    <mergeCell ref="D49:D55"/>
    <mergeCell ref="D57:D59"/>
    <mergeCell ref="D60:D66"/>
    <mergeCell ref="D68:D70"/>
    <mergeCell ref="D71:D77"/>
    <mergeCell ref="D81:D87"/>
    <mergeCell ref="E2:E4"/>
    <mergeCell ref="E5:E11"/>
    <mergeCell ref="E13:E15"/>
    <mergeCell ref="E16:E22"/>
    <mergeCell ref="E24:E26"/>
    <mergeCell ref="E27:E33"/>
    <mergeCell ref="E35:E37"/>
    <mergeCell ref="E38:E44"/>
    <mergeCell ref="E46:E48"/>
    <mergeCell ref="E49:E55"/>
    <mergeCell ref="E57:E59"/>
    <mergeCell ref="E60:E66"/>
    <mergeCell ref="E68:E70"/>
    <mergeCell ref="E71:E77"/>
    <mergeCell ref="E81:E87"/>
    <mergeCell ref="F2:F4"/>
    <mergeCell ref="F5:F11"/>
    <mergeCell ref="F13:F15"/>
    <mergeCell ref="F16:F22"/>
    <mergeCell ref="F24:F26"/>
    <mergeCell ref="F27:F33"/>
    <mergeCell ref="F35:F37"/>
    <mergeCell ref="F38:F44"/>
    <mergeCell ref="F46:F48"/>
    <mergeCell ref="F49:F55"/>
    <mergeCell ref="F57:F59"/>
    <mergeCell ref="F60:F66"/>
    <mergeCell ref="F68:F70"/>
    <mergeCell ref="F71:F77"/>
    <mergeCell ref="F81:F87"/>
    <mergeCell ref="G5:G11"/>
    <mergeCell ref="G16:G22"/>
    <mergeCell ref="G27:G33"/>
    <mergeCell ref="G38:G44"/>
    <mergeCell ref="G49:G55"/>
    <mergeCell ref="G60:G66"/>
    <mergeCell ref="G71:G77"/>
    <mergeCell ref="H5:H11"/>
    <mergeCell ref="H16:H22"/>
    <mergeCell ref="H27:H33"/>
    <mergeCell ref="H38:H44"/>
    <mergeCell ref="H49:H55"/>
    <mergeCell ref="H60:H66"/>
    <mergeCell ref="H71:H77"/>
    <mergeCell ref="I2:I4"/>
    <mergeCell ref="I5:I10"/>
    <mergeCell ref="I13:I15"/>
    <mergeCell ref="I16:I21"/>
    <mergeCell ref="I24:I26"/>
    <mergeCell ref="I27:I32"/>
    <mergeCell ref="I35:I37"/>
    <mergeCell ref="I38:I43"/>
    <mergeCell ref="I46:I48"/>
    <mergeCell ref="I49:I54"/>
    <mergeCell ref="I57:I59"/>
    <mergeCell ref="I60:I65"/>
    <mergeCell ref="I68:I70"/>
    <mergeCell ref="I71:I76"/>
    <mergeCell ref="I81:I87"/>
    <mergeCell ref="J2:J4"/>
    <mergeCell ref="J13:J15"/>
    <mergeCell ref="J24:J26"/>
    <mergeCell ref="J35:J37"/>
    <mergeCell ref="J46:J48"/>
    <mergeCell ref="J57:J59"/>
    <mergeCell ref="J68:J70"/>
    <mergeCell ref="J81:J87"/>
    <mergeCell ref="M2:M4"/>
    <mergeCell ref="M13:M15"/>
    <mergeCell ref="M24:M26"/>
    <mergeCell ref="M35:M37"/>
    <mergeCell ref="M46:M48"/>
    <mergeCell ref="M57:M59"/>
    <mergeCell ref="M68:M70"/>
    <mergeCell ref="Q2:Q3"/>
    <mergeCell ref="Q13:Q14"/>
    <mergeCell ref="Q24:Q25"/>
    <mergeCell ref="Q35:Q36"/>
    <mergeCell ref="Q46:Q47"/>
    <mergeCell ref="Q57:Q58"/>
    <mergeCell ref="Q68:Q69"/>
    <mergeCell ref="R2:R3"/>
    <mergeCell ref="R13:R14"/>
    <mergeCell ref="R24:R25"/>
    <mergeCell ref="R35:R36"/>
    <mergeCell ref="R46:R47"/>
    <mergeCell ref="R57:R58"/>
    <mergeCell ref="R68:R69"/>
    <mergeCell ref="G2:H4"/>
    <mergeCell ref="K2:L3"/>
    <mergeCell ref="N2:P3"/>
    <mergeCell ref="G13:H15"/>
    <mergeCell ref="K13:L14"/>
    <mergeCell ref="N13:P14"/>
    <mergeCell ref="G24:H26"/>
    <mergeCell ref="K24:L25"/>
    <mergeCell ref="N24:P25"/>
    <mergeCell ref="G35:H37"/>
    <mergeCell ref="K35:L36"/>
    <mergeCell ref="N35:P36"/>
    <mergeCell ref="G46:H48"/>
    <mergeCell ref="K46:L47"/>
    <mergeCell ref="N46:P47"/>
    <mergeCell ref="G57:H59"/>
    <mergeCell ref="K57:L58"/>
    <mergeCell ref="N57:P58"/>
    <mergeCell ref="G68:H70"/>
    <mergeCell ref="K68:L69"/>
    <mergeCell ref="N68:P69"/>
    <mergeCell ref="A81:B87"/>
    <mergeCell ref="G81:H87"/>
    <mergeCell ref="K81:L87"/>
    <mergeCell ref="M81:N87"/>
  </mergeCells>
  <pageMargins left="0.75" right="0.75" top="1" bottom="1" header="0.5" footer="0.5"/>
  <pageSetup orientation="portrait" paperSize="9"/>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U54"/>
  <sheetViews>
    <sheetView topLeftCell="A12" zoomScale="90" zoomScaleNormal="90" workbookViewId="0">
      <selection activeCell="P47" sqref="P47"/>
    </sheetView>
  </sheetViews>
  <sheetFormatPr defaultColWidth="8.55555555555556" defaultRowHeight="14.4"/>
  <cols>
    <col customWidth="true" max="1" min="1" style="3" width="7"/>
    <col customWidth="true" max="2" min="2" style="3" width="8.77777777777778"/>
    <col customWidth="true" max="3" min="3" style="3" width="18.6388888888889"/>
    <col customWidth="true" max="4" min="4" style="3" width="9.88888888888889"/>
    <col customWidth="true" hidden="true" max="5" min="5" style="3" width="12.7777777777778"/>
    <col customWidth="true" hidden="true" max="6" min="6" style="3" width="12.6666666666667"/>
    <col customWidth="true" max="7" min="7" style="3" width="13.5740740740741"/>
    <col customWidth="true" max="8" min="8" style="3" width="11.5555555555556"/>
    <col customWidth="true" max="9" min="9" style="3" width="13.9444444444444"/>
    <col customWidth="true" max="10" min="10" style="4" width="13.2037037037037"/>
    <col customWidth="true" max="11" min="11" style="3" width="12.5833333333333"/>
    <col customWidth="true" max="12" min="12" style="3" width="15.3055555555556"/>
    <col customWidth="true" max="13" min="13" style="4" width="12.5925925925926"/>
    <col customWidth="true" max="14" min="14" style="3" width="10.8611111111111"/>
    <col customWidth="true" max="15" min="15" style="3" width="11.3518518518519"/>
    <col customWidth="true" max="18" min="16" style="3" width="13.0833333333333"/>
    <col max="16384" min="19" style="3" width="8.55555555555556"/>
  </cols>
  <sheetData>
    <row r="1" spans="1:20" s="1" customFormat="true" ht="58.8" customHeight="true">
      <c r="A1" s="5" t="s">
        <v>96</v>
      </c>
      <c r="B1" s="6"/>
      <c r="C1" s="6"/>
      <c r="D1" s="6"/>
      <c r="E1" s="6"/>
      <c r="F1" s="6"/>
      <c r="G1" s="6"/>
      <c r="H1" s="6"/>
      <c r="I1" s="6"/>
      <c r="J1" s="6"/>
      <c r="K1" s="6"/>
      <c r="L1" s="6"/>
      <c r="M1" s="6" t="s">
        <v>97</v>
      </c>
      <c r="N1" s="6"/>
      <c r="O1" s="6"/>
      <c r="P1" s="51" t="s">
        <v>2</v>
      </c>
      <c r="Q1" s="6"/>
      <c r="R1" s="6"/>
      <c r="T1" s="78"/>
    </row>
    <row r="2" spans="1:20" s="1" customFormat="true" ht="10.95" customHeight="true">
      <c r="A2" s="7" t="s">
        <v>3</v>
      </c>
      <c r="B2" s="7" t="s">
        <v>4</v>
      </c>
      <c r="C2" s="7" t="s">
        <v>55</v>
      </c>
      <c r="D2" s="7" t="s">
        <v>6</v>
      </c>
      <c r="E2" s="7" t="s">
        <v>7</v>
      </c>
      <c r="F2" s="7" t="s">
        <v>8</v>
      </c>
      <c r="G2" s="8" t="s">
        <v>9</v>
      </c>
      <c r="H2" s="9"/>
      <c r="I2" s="7" t="s">
        <v>10</v>
      </c>
      <c r="J2" s="7" t="s">
        <v>11</v>
      </c>
      <c r="K2" s="52" t="s">
        <v>12</v>
      </c>
      <c r="L2" s="9"/>
      <c r="M2" s="7" t="s">
        <v>11</v>
      </c>
      <c r="N2" s="52" t="s">
        <v>13</v>
      </c>
      <c r="O2" s="52"/>
      <c r="P2" s="9"/>
      <c r="Q2" s="9" t="s">
        <v>14</v>
      </c>
      <c r="R2" s="9" t="s">
        <v>15</v>
      </c>
      <c r="T2" s="78"/>
    </row>
    <row r="3" spans="1:20" s="1" customFormat="true" ht="16.05" customHeight="true">
      <c r="A3" s="10"/>
      <c r="B3" s="10"/>
      <c r="C3" s="10"/>
      <c r="D3" s="10"/>
      <c r="E3" s="10"/>
      <c r="F3" s="10"/>
      <c r="G3" s="11"/>
      <c r="H3" s="12"/>
      <c r="I3" s="10"/>
      <c r="J3" s="10"/>
      <c r="K3" s="53"/>
      <c r="L3" s="15"/>
      <c r="M3" s="10"/>
      <c r="N3" s="53"/>
      <c r="O3" s="53"/>
      <c r="P3" s="15"/>
      <c r="Q3" s="15"/>
      <c r="R3" s="15"/>
      <c r="T3" s="78"/>
    </row>
    <row r="4" spans="1:20" s="1" customFormat="true" ht="28.95" customHeight="true">
      <c r="A4" s="13"/>
      <c r="B4" s="13"/>
      <c r="C4" s="13"/>
      <c r="D4" s="13"/>
      <c r="E4" s="13"/>
      <c r="F4" s="13"/>
      <c r="G4" s="14"/>
      <c r="H4" s="15"/>
      <c r="I4" s="13"/>
      <c r="J4" s="13"/>
      <c r="K4" s="54" t="s">
        <v>16</v>
      </c>
      <c r="L4" s="55" t="s">
        <v>17</v>
      </c>
      <c r="M4" s="13"/>
      <c r="N4" s="55" t="s">
        <v>18</v>
      </c>
      <c r="O4" s="55" t="s">
        <v>19</v>
      </c>
      <c r="P4" s="55" t="s">
        <v>20</v>
      </c>
      <c r="Q4" s="55" t="s">
        <v>21</v>
      </c>
      <c r="R4" s="55" t="s">
        <v>22</v>
      </c>
      <c r="T4" s="78"/>
    </row>
    <row r="5" spans="1:20" s="2" customFormat="true" customHeight="true">
      <c r="A5" s="16">
        <v>1</v>
      </c>
      <c r="B5" s="17" t="str">
        <f>=DISPIMG("ID_098F0251D9FC4D97AF0D97E443A49C50",1)</f>
        <v>=DISPIMG("ID_098F0251D9FC4D97AF0D97E443A49C50",1)</v>
      </c>
      <c r="C5" s="18" t="s">
        <v>98</v>
      </c>
      <c r="D5" s="18" t="s">
        <v>99</v>
      </c>
      <c r="E5" s="90"/>
      <c r="F5" s="90"/>
      <c r="G5" s="20" t="s">
        <v>34</v>
      </c>
      <c r="H5" s="21" t="str">
        <f>=DISPIMG("ID_159BEE8792CE4990ABB110FF2D185479",1)</f>
        <v>=DISPIMG("ID_159BEE8792CE4990ABB110FF2D185479",1)</v>
      </c>
      <c r="I5" s="86">
        <v>30.395</v>
      </c>
      <c r="J5" s="57" t="s">
        <v>26</v>
      </c>
      <c r="K5" s="23">
        <v>102</v>
      </c>
      <c r="L5" s="58">
        <f>I5*K5</f>
        <v>3100.29</v>
      </c>
      <c r="M5" s="57" t="s">
        <v>26</v>
      </c>
      <c r="N5" s="23">
        <v>0</v>
      </c>
      <c r="O5" s="23">
        <v>3</v>
      </c>
      <c r="P5" s="23">
        <f t="shared" ref="P5:P10" si="0">MAX(0,K5-O5)</f>
        <v>99</v>
      </c>
      <c r="Q5" s="23">
        <v>0</v>
      </c>
      <c r="R5" s="23"/>
      <c r="T5" s="79"/>
    </row>
    <row r="6" spans="1:20" s="2" customFormat="true">
      <c r="A6" s="16"/>
      <c r="B6" s="16"/>
      <c r="C6" s="22"/>
      <c r="D6" s="22"/>
      <c r="E6" s="90"/>
      <c r="F6" s="90"/>
      <c r="G6" s="20"/>
      <c r="H6" s="21"/>
      <c r="I6" s="87"/>
      <c r="J6" s="57" t="s">
        <v>27</v>
      </c>
      <c r="K6" s="23">
        <v>153</v>
      </c>
      <c r="L6" s="58">
        <f>I5*K6</f>
        <v>4650.435</v>
      </c>
      <c r="M6" s="57" t="s">
        <v>27</v>
      </c>
      <c r="N6" s="23">
        <v>0</v>
      </c>
      <c r="O6" s="23">
        <v>3</v>
      </c>
      <c r="P6" s="23">
        <f t="shared" si="0"/>
        <v>150</v>
      </c>
      <c r="Q6" s="23">
        <v>0</v>
      </c>
      <c r="R6" s="23"/>
      <c r="T6" s="79"/>
    </row>
    <row r="7" spans="1:20" s="2" customFormat="true">
      <c r="A7" s="16"/>
      <c r="B7" s="16"/>
      <c r="C7" s="22"/>
      <c r="D7" s="22"/>
      <c r="E7" s="90"/>
      <c r="F7" s="90"/>
      <c r="G7" s="20"/>
      <c r="H7" s="21"/>
      <c r="I7" s="87"/>
      <c r="J7" s="57" t="s">
        <v>28</v>
      </c>
      <c r="K7" s="23">
        <v>198</v>
      </c>
      <c r="L7" s="58">
        <f>I5*K7</f>
        <v>6018.21</v>
      </c>
      <c r="M7" s="57" t="s">
        <v>28</v>
      </c>
      <c r="N7" s="23">
        <v>0</v>
      </c>
      <c r="O7" s="23">
        <v>5</v>
      </c>
      <c r="P7" s="23">
        <f t="shared" si="0"/>
        <v>193</v>
      </c>
      <c r="Q7" s="23">
        <v>0</v>
      </c>
      <c r="R7" s="23"/>
      <c r="T7" s="79"/>
    </row>
    <row r="8" spans="1:20" s="2" customFormat="true">
      <c r="A8" s="16"/>
      <c r="B8" s="16"/>
      <c r="C8" s="22"/>
      <c r="D8" s="22"/>
      <c r="E8" s="90"/>
      <c r="F8" s="90"/>
      <c r="G8" s="20"/>
      <c r="H8" s="21"/>
      <c r="I8" s="87"/>
      <c r="J8" s="57" t="s">
        <v>29</v>
      </c>
      <c r="K8" s="23">
        <v>197</v>
      </c>
      <c r="L8" s="58">
        <f>I5*K8</f>
        <v>5987.815</v>
      </c>
      <c r="M8" s="57" t="s">
        <v>29</v>
      </c>
      <c r="N8" s="23">
        <v>0</v>
      </c>
      <c r="O8" s="23">
        <v>2</v>
      </c>
      <c r="P8" s="23">
        <f t="shared" si="0"/>
        <v>195</v>
      </c>
      <c r="Q8" s="23">
        <v>0</v>
      </c>
      <c r="R8" s="23"/>
      <c r="T8" s="79"/>
    </row>
    <row r="9" spans="1:20" s="2" customFormat="true">
      <c r="A9" s="16"/>
      <c r="B9" s="16"/>
      <c r="C9" s="22"/>
      <c r="D9" s="22"/>
      <c r="E9" s="90"/>
      <c r="F9" s="90"/>
      <c r="G9" s="20"/>
      <c r="H9" s="21"/>
      <c r="I9" s="87"/>
      <c r="J9" s="57" t="s">
        <v>30</v>
      </c>
      <c r="K9" s="23">
        <v>151</v>
      </c>
      <c r="L9" s="58">
        <f>I5*K9</f>
        <v>4589.645</v>
      </c>
      <c r="M9" s="57" t="s">
        <v>30</v>
      </c>
      <c r="N9" s="23">
        <v>0</v>
      </c>
      <c r="O9" s="23">
        <v>3</v>
      </c>
      <c r="P9" s="23">
        <f t="shared" si="0"/>
        <v>148</v>
      </c>
      <c r="Q9" s="23">
        <v>0</v>
      </c>
      <c r="R9" s="23"/>
      <c r="T9" s="79"/>
    </row>
    <row r="10" spans="1:20" s="2" customFormat="true">
      <c r="A10" s="16"/>
      <c r="B10" s="16"/>
      <c r="C10" s="22"/>
      <c r="D10" s="22"/>
      <c r="E10" s="90"/>
      <c r="F10" s="90"/>
      <c r="G10" s="20"/>
      <c r="H10" s="21"/>
      <c r="I10" s="88"/>
      <c r="J10" s="23" t="s">
        <v>31</v>
      </c>
      <c r="K10" s="23">
        <v>98</v>
      </c>
      <c r="L10" s="58">
        <f>I5*K10</f>
        <v>2978.71</v>
      </c>
      <c r="M10" s="23" t="s">
        <v>31</v>
      </c>
      <c r="N10" s="23">
        <v>0</v>
      </c>
      <c r="O10" s="23">
        <v>4</v>
      </c>
      <c r="P10" s="23">
        <f t="shared" si="0"/>
        <v>94</v>
      </c>
      <c r="Q10" s="23">
        <v>0</v>
      </c>
      <c r="R10" s="23"/>
      <c r="T10" s="79"/>
    </row>
    <row r="11" spans="1:20" s="2" customFormat="true">
      <c r="A11" s="24"/>
      <c r="B11" s="24"/>
      <c r="C11" s="25"/>
      <c r="D11" s="25"/>
      <c r="E11" s="90"/>
      <c r="F11" s="90"/>
      <c r="G11" s="26"/>
      <c r="H11" s="27"/>
      <c r="J11" s="61" t="s">
        <v>32</v>
      </c>
      <c r="K11" s="62">
        <f t="shared" ref="K11:N11" si="1">SUM(K5:K10)</f>
        <v>899</v>
      </c>
      <c r="L11" s="63">
        <f t="shared" si="1"/>
        <v>27325.105</v>
      </c>
      <c r="M11" s="61" t="s">
        <v>32</v>
      </c>
      <c r="N11" s="62">
        <f t="shared" si="1"/>
        <v>0</v>
      </c>
      <c r="O11" s="62" cm="1">
        <f t="array" ref="O11">SUMPRODUCT(--(O5:O10))</f>
        <v>20</v>
      </c>
      <c r="P11" s="64" cm="1">
        <f t="array" ref="P11">SUMPRODUCT(--(P5:P10))</f>
        <v>879</v>
      </c>
      <c r="Q11" s="64">
        <f>SUM(Q5:Q10)</f>
        <v>0</v>
      </c>
      <c r="R11" s="64">
        <f>SUM(R5:R10)</f>
        <v>0</v>
      </c>
      <c r="T11" s="79"/>
    </row>
    <row r="12" spans="1:20" s="2" customFormat="true" ht="17.4" customHeight="true">
      <c r="A12" s="28"/>
      <c r="B12" s="29"/>
      <c r="C12" s="29"/>
      <c r="D12" s="29"/>
      <c r="E12" s="29"/>
      <c r="F12" s="29"/>
      <c r="G12" s="29"/>
      <c r="H12" s="29"/>
      <c r="I12" s="29"/>
      <c r="J12" s="29"/>
      <c r="K12" s="29"/>
      <c r="L12" s="29"/>
      <c r="M12" s="29"/>
      <c r="N12" s="29"/>
      <c r="O12" s="29"/>
      <c r="P12" s="29"/>
      <c r="Q12" s="29"/>
      <c r="R12" s="29"/>
      <c r="T12" s="79"/>
    </row>
    <row r="13" spans="1:21" s="1" customFormat="true" ht="10.95" customHeight="true">
      <c r="A13" s="7" t="s">
        <v>3</v>
      </c>
      <c r="B13" s="30" t="s">
        <v>4</v>
      </c>
      <c r="C13" s="30" t="s">
        <v>55</v>
      </c>
      <c r="D13" s="30" t="s">
        <v>6</v>
      </c>
      <c r="E13" s="30" t="s">
        <v>7</v>
      </c>
      <c r="F13" s="30" t="s">
        <v>8</v>
      </c>
      <c r="G13" s="30" t="s">
        <v>9</v>
      </c>
      <c r="H13" s="30"/>
      <c r="I13" s="7" t="s">
        <v>10</v>
      </c>
      <c r="J13" s="7" t="s">
        <v>11</v>
      </c>
      <c r="K13" s="8" t="s">
        <v>12</v>
      </c>
      <c r="L13" s="9"/>
      <c r="M13" s="7" t="s">
        <v>11</v>
      </c>
      <c r="N13" s="52" t="s">
        <v>13</v>
      </c>
      <c r="O13" s="52"/>
      <c r="P13" s="9"/>
      <c r="Q13" s="9" t="s">
        <v>14</v>
      </c>
      <c r="R13" s="9" t="s">
        <v>15</v>
      </c>
      <c r="T13" s="78"/>
      <c r="U13" s="2"/>
    </row>
    <row r="14" spans="1:20" s="1" customFormat="true" ht="16.05" customHeight="true">
      <c r="A14" s="10"/>
      <c r="B14" s="30"/>
      <c r="C14" s="30"/>
      <c r="D14" s="30"/>
      <c r="E14" s="30"/>
      <c r="F14" s="30"/>
      <c r="G14" s="30"/>
      <c r="H14" s="30"/>
      <c r="I14" s="10"/>
      <c r="J14" s="10"/>
      <c r="K14" s="14"/>
      <c r="L14" s="15"/>
      <c r="M14" s="10"/>
      <c r="N14" s="53"/>
      <c r="O14" s="53"/>
      <c r="P14" s="15"/>
      <c r="Q14" s="15"/>
      <c r="R14" s="15"/>
      <c r="T14" s="78"/>
    </row>
    <row r="15" spans="1:20" s="1" customFormat="true" ht="28.95" customHeight="true">
      <c r="A15" s="13"/>
      <c r="B15" s="30"/>
      <c r="C15" s="30"/>
      <c r="D15" s="30"/>
      <c r="E15" s="30"/>
      <c r="F15" s="30"/>
      <c r="G15" s="30"/>
      <c r="H15" s="30"/>
      <c r="I15" s="13"/>
      <c r="J15" s="13"/>
      <c r="K15" s="54" t="s">
        <v>16</v>
      </c>
      <c r="L15" s="55" t="s">
        <v>17</v>
      </c>
      <c r="M15" s="13"/>
      <c r="N15" s="55" t="s">
        <v>18</v>
      </c>
      <c r="O15" s="55" t="s">
        <v>19</v>
      </c>
      <c r="P15" s="55" t="s">
        <v>20</v>
      </c>
      <c r="Q15" s="55" t="s">
        <v>21</v>
      </c>
      <c r="R15" s="55" t="s">
        <v>22</v>
      </c>
      <c r="T15" s="78"/>
    </row>
    <row r="16" spans="1:20" s="2" customFormat="true" ht="13.95" customHeight="true">
      <c r="A16" s="16">
        <v>2</v>
      </c>
      <c r="B16" s="17" t="str">
        <f>=DISPIMG("ID_7A0C4E1F82B34A0EBB32AD62B82B46A3",1)</f>
        <v>=DISPIMG("ID_7A0C4E1F82B34A0EBB32AD62B82B46A3",1)</v>
      </c>
      <c r="C16" s="18" t="s">
        <v>100</v>
      </c>
      <c r="D16" s="18" t="s">
        <v>99</v>
      </c>
      <c r="E16" s="90"/>
      <c r="F16" s="90"/>
      <c r="G16" s="20" t="s">
        <v>101</v>
      </c>
      <c r="H16" s="21" t="str">
        <f>=DISPIMG("ID_9305004DF0A5482890C9FFC33AABBAB4",1)</f>
        <v>=DISPIMG("ID_9305004DF0A5482890C9FFC33AABBAB4",1)</v>
      </c>
      <c r="I16" s="86">
        <v>30.395</v>
      </c>
      <c r="J16" s="57" t="s">
        <v>26</v>
      </c>
      <c r="K16" s="23">
        <v>0</v>
      </c>
      <c r="L16" s="58">
        <f>I16*K16</f>
        <v>0</v>
      </c>
      <c r="M16" s="57" t="s">
        <v>26</v>
      </c>
      <c r="N16" s="23">
        <v>0</v>
      </c>
      <c r="O16" s="23">
        <v>0</v>
      </c>
      <c r="P16" s="23">
        <f t="shared" ref="P16:P21" si="2">MAX(0,K16-O16)</f>
        <v>0</v>
      </c>
      <c r="Q16" s="23">
        <v>0</v>
      </c>
      <c r="R16" s="23"/>
      <c r="T16" s="79"/>
    </row>
    <row r="17" spans="1:20" s="2" customFormat="true">
      <c r="A17" s="16"/>
      <c r="B17" s="16"/>
      <c r="C17" s="22"/>
      <c r="D17" s="22"/>
      <c r="E17" s="90"/>
      <c r="F17" s="90"/>
      <c r="G17" s="20"/>
      <c r="H17" s="21"/>
      <c r="I17" s="87"/>
      <c r="J17" s="57" t="s">
        <v>27</v>
      </c>
      <c r="K17" s="23">
        <v>102</v>
      </c>
      <c r="L17" s="58">
        <f>I16*K17</f>
        <v>3100.29</v>
      </c>
      <c r="M17" s="57" t="s">
        <v>27</v>
      </c>
      <c r="N17" s="23">
        <v>0</v>
      </c>
      <c r="O17" s="23">
        <v>3</v>
      </c>
      <c r="P17" s="23">
        <f t="shared" si="2"/>
        <v>99</v>
      </c>
      <c r="Q17" s="23">
        <v>0</v>
      </c>
      <c r="R17" s="23"/>
      <c r="T17" s="79"/>
    </row>
    <row r="18" spans="1:20" s="2" customFormat="true">
      <c r="A18" s="16"/>
      <c r="B18" s="16"/>
      <c r="C18" s="22"/>
      <c r="D18" s="22"/>
      <c r="E18" s="90"/>
      <c r="F18" s="90"/>
      <c r="G18" s="20"/>
      <c r="H18" s="21"/>
      <c r="I18" s="87"/>
      <c r="J18" s="57" t="s">
        <v>28</v>
      </c>
      <c r="K18" s="23">
        <v>105</v>
      </c>
      <c r="L18" s="58">
        <f>I16*K18</f>
        <v>3191.475</v>
      </c>
      <c r="M18" s="57" t="s">
        <v>28</v>
      </c>
      <c r="N18" s="23">
        <v>0</v>
      </c>
      <c r="O18" s="23">
        <v>0</v>
      </c>
      <c r="P18" s="23">
        <f t="shared" si="2"/>
        <v>105</v>
      </c>
      <c r="Q18" s="23">
        <v>0</v>
      </c>
      <c r="R18" s="23"/>
      <c r="T18" s="79"/>
    </row>
    <row r="19" spans="1:20" s="2" customFormat="true">
      <c r="A19" s="16"/>
      <c r="B19" s="16"/>
      <c r="C19" s="22"/>
      <c r="D19" s="22"/>
      <c r="E19" s="90"/>
      <c r="F19" s="90"/>
      <c r="G19" s="20"/>
      <c r="H19" s="21"/>
      <c r="I19" s="87"/>
      <c r="J19" s="57" t="s">
        <v>29</v>
      </c>
      <c r="K19" s="23">
        <v>107</v>
      </c>
      <c r="L19" s="58">
        <f>I16*K19</f>
        <v>3252.265</v>
      </c>
      <c r="M19" s="57" t="s">
        <v>29</v>
      </c>
      <c r="N19" s="23">
        <v>0</v>
      </c>
      <c r="O19" s="23">
        <v>2</v>
      </c>
      <c r="P19" s="23">
        <f t="shared" si="2"/>
        <v>105</v>
      </c>
      <c r="Q19" s="23">
        <v>0</v>
      </c>
      <c r="R19" s="23"/>
      <c r="T19" s="79"/>
    </row>
    <row r="20" spans="1:20" s="2" customFormat="true">
      <c r="A20" s="16"/>
      <c r="B20" s="16"/>
      <c r="C20" s="22"/>
      <c r="D20" s="22"/>
      <c r="E20" s="90"/>
      <c r="F20" s="90"/>
      <c r="G20" s="20"/>
      <c r="H20" s="21"/>
      <c r="I20" s="87"/>
      <c r="J20" s="57" t="s">
        <v>30</v>
      </c>
      <c r="K20" s="23">
        <v>0</v>
      </c>
      <c r="L20" s="58">
        <f>I16*K20</f>
        <v>0</v>
      </c>
      <c r="M20" s="57" t="s">
        <v>30</v>
      </c>
      <c r="N20" s="23">
        <v>0</v>
      </c>
      <c r="O20" s="23">
        <v>0</v>
      </c>
      <c r="P20" s="23">
        <f t="shared" si="2"/>
        <v>0</v>
      </c>
      <c r="Q20" s="23">
        <v>0</v>
      </c>
      <c r="R20" s="23"/>
      <c r="T20" s="79"/>
    </row>
    <row r="21" spans="1:20" s="2" customFormat="true">
      <c r="A21" s="16"/>
      <c r="B21" s="16"/>
      <c r="C21" s="22"/>
      <c r="D21" s="22"/>
      <c r="E21" s="90"/>
      <c r="F21" s="90"/>
      <c r="G21" s="20"/>
      <c r="H21" s="21"/>
      <c r="I21" s="88"/>
      <c r="J21" s="23" t="s">
        <v>31</v>
      </c>
      <c r="K21" s="23">
        <v>0</v>
      </c>
      <c r="L21" s="58">
        <f>I16*K21</f>
        <v>0</v>
      </c>
      <c r="M21" s="23" t="s">
        <v>31</v>
      </c>
      <c r="N21" s="23">
        <v>0</v>
      </c>
      <c r="O21" s="23">
        <v>0</v>
      </c>
      <c r="P21" s="23">
        <f t="shared" si="2"/>
        <v>0</v>
      </c>
      <c r="Q21" s="23">
        <v>0</v>
      </c>
      <c r="R21" s="23"/>
      <c r="T21" s="79"/>
    </row>
    <row r="22" spans="1:20" s="2" customFormat="true">
      <c r="A22" s="24"/>
      <c r="B22" s="24"/>
      <c r="C22" s="25"/>
      <c r="D22" s="25"/>
      <c r="E22" s="90"/>
      <c r="F22" s="90"/>
      <c r="G22" s="26"/>
      <c r="H22" s="27"/>
      <c r="I22" s="62"/>
      <c r="J22" s="61" t="s">
        <v>32</v>
      </c>
      <c r="K22" s="62">
        <f t="shared" ref="K22:N22" si="3">SUM(K16:K21)</f>
        <v>314</v>
      </c>
      <c r="L22" s="63">
        <f t="shared" si="3"/>
        <v>9544.03</v>
      </c>
      <c r="M22" s="61" t="s">
        <v>32</v>
      </c>
      <c r="N22" s="62">
        <f t="shared" si="3"/>
        <v>0</v>
      </c>
      <c r="O22" s="62" cm="1">
        <f t="array" ref="O22">SUMPRODUCT(--(O16:O21))</f>
        <v>5</v>
      </c>
      <c r="P22" s="64" cm="1">
        <f t="array" ref="P22">SUMPRODUCT(--(P16:P21))</f>
        <v>309</v>
      </c>
      <c r="Q22" s="64">
        <f>SUM(Q16:Q21)</f>
        <v>0</v>
      </c>
      <c r="R22" s="64">
        <f>SUM(R16:R21)</f>
        <v>0</v>
      </c>
      <c r="T22" s="79"/>
    </row>
    <row r="23" spans="1:20" s="2" customFormat="true" ht="17.4" customHeight="true">
      <c r="A23" s="28"/>
      <c r="B23" s="29"/>
      <c r="C23" s="29"/>
      <c r="D23" s="29"/>
      <c r="E23" s="29"/>
      <c r="F23" s="29"/>
      <c r="G23" s="29"/>
      <c r="H23" s="29"/>
      <c r="I23" s="29"/>
      <c r="J23" s="29"/>
      <c r="K23" s="29"/>
      <c r="L23" s="29"/>
      <c r="M23" s="29"/>
      <c r="N23" s="29"/>
      <c r="O23" s="29"/>
      <c r="P23" s="29"/>
      <c r="Q23" s="65"/>
      <c r="R23" s="65"/>
      <c r="T23" s="79"/>
    </row>
    <row r="24" spans="1:20" s="1" customFormat="true" ht="10.95" customHeight="true">
      <c r="A24" s="7" t="s">
        <v>3</v>
      </c>
      <c r="B24" s="30" t="s">
        <v>4</v>
      </c>
      <c r="C24" s="30" t="s">
        <v>55</v>
      </c>
      <c r="D24" s="30" t="s">
        <v>6</v>
      </c>
      <c r="E24" s="30" t="s">
        <v>7</v>
      </c>
      <c r="F24" s="30" t="s">
        <v>8</v>
      </c>
      <c r="G24" s="30" t="s">
        <v>9</v>
      </c>
      <c r="H24" s="30"/>
      <c r="I24" s="7" t="s">
        <v>10</v>
      </c>
      <c r="J24" s="7" t="s">
        <v>11</v>
      </c>
      <c r="K24" s="8" t="s">
        <v>12</v>
      </c>
      <c r="L24" s="9"/>
      <c r="M24" s="7" t="s">
        <v>11</v>
      </c>
      <c r="N24" s="52" t="s">
        <v>13</v>
      </c>
      <c r="O24" s="52"/>
      <c r="P24" s="9"/>
      <c r="Q24" s="9" t="s">
        <v>14</v>
      </c>
      <c r="R24" s="9" t="s">
        <v>15</v>
      </c>
      <c r="T24" s="78"/>
    </row>
    <row r="25" spans="1:20" s="1" customFormat="true" ht="16.05" customHeight="true">
      <c r="A25" s="10"/>
      <c r="B25" s="30"/>
      <c r="C25" s="30"/>
      <c r="D25" s="30"/>
      <c r="E25" s="30"/>
      <c r="F25" s="30"/>
      <c r="G25" s="30"/>
      <c r="H25" s="30"/>
      <c r="I25" s="10"/>
      <c r="J25" s="10"/>
      <c r="K25" s="14"/>
      <c r="L25" s="15"/>
      <c r="M25" s="10"/>
      <c r="N25" s="53"/>
      <c r="O25" s="53"/>
      <c r="P25" s="15"/>
      <c r="Q25" s="15"/>
      <c r="R25" s="15"/>
      <c r="T25" s="78"/>
    </row>
    <row r="26" spans="1:20" s="1" customFormat="true" ht="28.95" customHeight="true">
      <c r="A26" s="13"/>
      <c r="B26" s="30"/>
      <c r="C26" s="30"/>
      <c r="D26" s="30"/>
      <c r="E26" s="30"/>
      <c r="F26" s="30"/>
      <c r="G26" s="30"/>
      <c r="H26" s="30"/>
      <c r="I26" s="13"/>
      <c r="J26" s="13"/>
      <c r="K26" s="54" t="s">
        <v>16</v>
      </c>
      <c r="L26" s="55" t="s">
        <v>17</v>
      </c>
      <c r="M26" s="13"/>
      <c r="N26" s="55" t="s">
        <v>18</v>
      </c>
      <c r="O26" s="55" t="s">
        <v>19</v>
      </c>
      <c r="P26" s="55" t="s">
        <v>20</v>
      </c>
      <c r="Q26" s="55" t="s">
        <v>21</v>
      </c>
      <c r="R26" s="55" t="s">
        <v>22</v>
      </c>
      <c r="T26" s="78"/>
    </row>
    <row r="27" spans="1:20" s="2" customFormat="true" ht="13.95" customHeight="true">
      <c r="A27" s="16">
        <v>3</v>
      </c>
      <c r="B27" s="17" t="str">
        <f>=DISPIMG("ID_698EAC9540354B6DB4B1A49857278255",1)</f>
        <v>=DISPIMG("ID_698EAC9540354B6DB4B1A49857278255",1)</v>
      </c>
      <c r="C27" s="18" t="s">
        <v>102</v>
      </c>
      <c r="D27" s="18" t="s">
        <v>99</v>
      </c>
      <c r="E27" s="90"/>
      <c r="F27" s="90"/>
      <c r="G27" s="20" t="s">
        <v>42</v>
      </c>
      <c r="H27" s="21" t="str">
        <f>=DISPIMG("ID_1658201FC8244EF294356BE5162534EC",1)</f>
        <v>=DISPIMG("ID_1658201FC8244EF294356BE5162534EC",1)</v>
      </c>
      <c r="I27" s="86">
        <v>30.395</v>
      </c>
      <c r="J27" s="57" t="s">
        <v>26</v>
      </c>
      <c r="K27" s="23">
        <v>102</v>
      </c>
      <c r="L27" s="58">
        <f>I27*K27</f>
        <v>3100.29</v>
      </c>
      <c r="M27" s="57" t="s">
        <v>26</v>
      </c>
      <c r="N27" s="23">
        <v>0</v>
      </c>
      <c r="O27" s="23">
        <v>1</v>
      </c>
      <c r="P27" s="23">
        <f t="shared" ref="P27:P32" si="4">MAX(0,K27-O27)</f>
        <v>101</v>
      </c>
      <c r="Q27" s="23">
        <v>0</v>
      </c>
      <c r="R27" s="23"/>
      <c r="T27" s="79"/>
    </row>
    <row r="28" spans="1:20" s="2" customFormat="true">
      <c r="A28" s="16"/>
      <c r="B28" s="16"/>
      <c r="C28" s="22"/>
      <c r="D28" s="22"/>
      <c r="E28" s="90"/>
      <c r="F28" s="90"/>
      <c r="G28" s="20"/>
      <c r="H28" s="21"/>
      <c r="I28" s="87"/>
      <c r="J28" s="57" t="s">
        <v>27</v>
      </c>
      <c r="K28" s="23">
        <v>139</v>
      </c>
      <c r="L28" s="58">
        <f>I27*K28</f>
        <v>4224.905</v>
      </c>
      <c r="M28" s="57" t="s">
        <v>27</v>
      </c>
      <c r="N28" s="23">
        <v>0</v>
      </c>
      <c r="O28" s="23">
        <v>10</v>
      </c>
      <c r="P28" s="23">
        <f t="shared" si="4"/>
        <v>129</v>
      </c>
      <c r="Q28" s="23">
        <v>1</v>
      </c>
      <c r="R28" s="23"/>
      <c r="T28" s="79"/>
    </row>
    <row r="29" spans="1:20" s="2" customFormat="true">
      <c r="A29" s="16"/>
      <c r="B29" s="16"/>
      <c r="C29" s="22"/>
      <c r="D29" s="22"/>
      <c r="E29" s="90"/>
      <c r="F29" s="90"/>
      <c r="G29" s="20"/>
      <c r="H29" s="21"/>
      <c r="I29" s="87"/>
      <c r="J29" s="57" t="s">
        <v>28</v>
      </c>
      <c r="K29" s="23">
        <v>189</v>
      </c>
      <c r="L29" s="58">
        <f>I27*K29</f>
        <v>5744.655</v>
      </c>
      <c r="M29" s="57" t="s">
        <v>28</v>
      </c>
      <c r="N29" s="23">
        <v>0</v>
      </c>
      <c r="O29" s="23">
        <v>7</v>
      </c>
      <c r="P29" s="23">
        <f t="shared" si="4"/>
        <v>182</v>
      </c>
      <c r="Q29" s="23">
        <v>0</v>
      </c>
      <c r="R29" s="23"/>
      <c r="T29" s="79"/>
    </row>
    <row r="30" spans="1:20" s="2" customFormat="true">
      <c r="A30" s="16"/>
      <c r="B30" s="16"/>
      <c r="C30" s="22"/>
      <c r="D30" s="22"/>
      <c r="E30" s="90"/>
      <c r="F30" s="90"/>
      <c r="G30" s="20"/>
      <c r="H30" s="21"/>
      <c r="I30" s="87"/>
      <c r="J30" s="57" t="s">
        <v>29</v>
      </c>
      <c r="K30" s="23">
        <v>200</v>
      </c>
      <c r="L30" s="58">
        <f>I27*K30</f>
        <v>6079</v>
      </c>
      <c r="M30" s="57" t="s">
        <v>29</v>
      </c>
      <c r="N30" s="23">
        <v>0</v>
      </c>
      <c r="O30" s="23">
        <v>1</v>
      </c>
      <c r="P30" s="23">
        <f t="shared" si="4"/>
        <v>199</v>
      </c>
      <c r="Q30" s="23">
        <v>0</v>
      </c>
      <c r="R30" s="23"/>
      <c r="T30" s="79"/>
    </row>
    <row r="31" spans="1:20" s="2" customFormat="true">
      <c r="A31" s="16"/>
      <c r="B31" s="16"/>
      <c r="C31" s="22"/>
      <c r="D31" s="22"/>
      <c r="E31" s="90"/>
      <c r="F31" s="90"/>
      <c r="G31" s="20"/>
      <c r="H31" s="21"/>
      <c r="I31" s="87"/>
      <c r="J31" s="57" t="s">
        <v>30</v>
      </c>
      <c r="K31" s="23">
        <v>151</v>
      </c>
      <c r="L31" s="58">
        <f>I27*K31</f>
        <v>4589.645</v>
      </c>
      <c r="M31" s="57" t="s">
        <v>30</v>
      </c>
      <c r="N31" s="23">
        <v>0</v>
      </c>
      <c r="O31" s="23">
        <v>1</v>
      </c>
      <c r="P31" s="23">
        <f t="shared" si="4"/>
        <v>150</v>
      </c>
      <c r="Q31" s="23">
        <v>0</v>
      </c>
      <c r="R31" s="23"/>
      <c r="T31" s="79"/>
    </row>
    <row r="32" spans="1:20" s="2" customFormat="true">
      <c r="A32" s="16"/>
      <c r="B32" s="16"/>
      <c r="C32" s="22"/>
      <c r="D32" s="22"/>
      <c r="E32" s="90"/>
      <c r="F32" s="90"/>
      <c r="G32" s="20"/>
      <c r="H32" s="21"/>
      <c r="I32" s="88"/>
      <c r="J32" s="23" t="s">
        <v>31</v>
      </c>
      <c r="K32" s="23">
        <v>99</v>
      </c>
      <c r="L32" s="58">
        <f>I27*K32</f>
        <v>3009.105</v>
      </c>
      <c r="M32" s="23" t="s">
        <v>31</v>
      </c>
      <c r="N32" s="23">
        <v>0</v>
      </c>
      <c r="O32" s="23">
        <v>0</v>
      </c>
      <c r="P32" s="23">
        <f t="shared" si="4"/>
        <v>99</v>
      </c>
      <c r="Q32" s="23">
        <v>0</v>
      </c>
      <c r="R32" s="23"/>
      <c r="T32" s="79"/>
    </row>
    <row r="33" spans="1:20" s="2" customFormat="true">
      <c r="A33" s="24"/>
      <c r="B33" s="24"/>
      <c r="C33" s="25"/>
      <c r="D33" s="25"/>
      <c r="E33" s="90"/>
      <c r="F33" s="90"/>
      <c r="G33" s="26"/>
      <c r="H33" s="27"/>
      <c r="I33" s="62"/>
      <c r="J33" s="61" t="s">
        <v>32</v>
      </c>
      <c r="K33" s="62">
        <f t="shared" ref="K33:N33" si="5">SUM(K27:K32)</f>
        <v>880</v>
      </c>
      <c r="L33" s="63">
        <f t="shared" si="5"/>
        <v>26747.6</v>
      </c>
      <c r="M33" s="61" t="s">
        <v>32</v>
      </c>
      <c r="N33" s="62">
        <f t="shared" si="5"/>
        <v>0</v>
      </c>
      <c r="O33" s="62" cm="1">
        <f t="array" ref="O33">SUMPRODUCT(--(O27:O32))</f>
        <v>20</v>
      </c>
      <c r="P33" s="64" cm="1">
        <f t="array" ref="P33">SUMPRODUCT(--(P27:P32))</f>
        <v>860</v>
      </c>
      <c r="Q33" s="64">
        <f>SUM(Q27:Q32)</f>
        <v>1</v>
      </c>
      <c r="R33" s="64">
        <f>SUM(R27:R32)</f>
        <v>0</v>
      </c>
      <c r="T33" s="79"/>
    </row>
    <row r="34" spans="1:20" s="2" customFormat="true" ht="17.4" customHeight="true">
      <c r="A34" s="28"/>
      <c r="B34" s="29"/>
      <c r="C34" s="29"/>
      <c r="D34" s="29"/>
      <c r="E34" s="29"/>
      <c r="F34" s="29"/>
      <c r="G34" s="29"/>
      <c r="H34" s="29"/>
      <c r="I34" s="29"/>
      <c r="J34" s="29"/>
      <c r="K34" s="29"/>
      <c r="L34" s="29"/>
      <c r="M34" s="29"/>
      <c r="N34" s="29"/>
      <c r="O34" s="29"/>
      <c r="P34" s="29"/>
      <c r="Q34" s="29"/>
      <c r="R34" s="29"/>
      <c r="T34" s="79"/>
    </row>
    <row r="35" spans="1:20" s="1" customFormat="true" ht="10.95" customHeight="true">
      <c r="A35" s="7" t="s">
        <v>3</v>
      </c>
      <c r="B35" s="30" t="s">
        <v>4</v>
      </c>
      <c r="C35" s="30" t="s">
        <v>55</v>
      </c>
      <c r="D35" s="30" t="s">
        <v>6</v>
      </c>
      <c r="E35" s="30" t="s">
        <v>7</v>
      </c>
      <c r="F35" s="30" t="s">
        <v>8</v>
      </c>
      <c r="G35" s="30" t="s">
        <v>9</v>
      </c>
      <c r="H35" s="30"/>
      <c r="I35" s="7" t="s">
        <v>10</v>
      </c>
      <c r="J35" s="7" t="s">
        <v>11</v>
      </c>
      <c r="K35" s="8" t="s">
        <v>12</v>
      </c>
      <c r="L35" s="9"/>
      <c r="M35" s="7" t="s">
        <v>11</v>
      </c>
      <c r="N35" s="52" t="s">
        <v>13</v>
      </c>
      <c r="O35" s="52"/>
      <c r="P35" s="9"/>
      <c r="Q35" s="9" t="s">
        <v>14</v>
      </c>
      <c r="R35" s="9" t="s">
        <v>15</v>
      </c>
      <c r="T35" s="78"/>
    </row>
    <row r="36" spans="1:20" s="1" customFormat="true" ht="16.05" customHeight="true">
      <c r="A36" s="10"/>
      <c r="B36" s="30"/>
      <c r="C36" s="30"/>
      <c r="D36" s="30"/>
      <c r="E36" s="30"/>
      <c r="F36" s="30"/>
      <c r="G36" s="30"/>
      <c r="H36" s="30"/>
      <c r="I36" s="10"/>
      <c r="J36" s="10"/>
      <c r="K36" s="14"/>
      <c r="L36" s="15"/>
      <c r="M36" s="10"/>
      <c r="N36" s="53"/>
      <c r="O36" s="53"/>
      <c r="P36" s="15"/>
      <c r="Q36" s="15"/>
      <c r="R36" s="15"/>
      <c r="T36" s="78"/>
    </row>
    <row r="37" spans="1:20" s="1" customFormat="true" ht="28.95" customHeight="true">
      <c r="A37" s="13"/>
      <c r="B37" s="30"/>
      <c r="C37" s="30"/>
      <c r="D37" s="30"/>
      <c r="E37" s="30"/>
      <c r="F37" s="30"/>
      <c r="G37" s="30"/>
      <c r="H37" s="30"/>
      <c r="I37" s="13"/>
      <c r="J37" s="13"/>
      <c r="K37" s="54" t="s">
        <v>16</v>
      </c>
      <c r="L37" s="55" t="s">
        <v>17</v>
      </c>
      <c r="M37" s="13"/>
      <c r="N37" s="55" t="s">
        <v>18</v>
      </c>
      <c r="O37" s="55" t="s">
        <v>19</v>
      </c>
      <c r="P37" s="55" t="s">
        <v>20</v>
      </c>
      <c r="Q37" s="55" t="s">
        <v>21</v>
      </c>
      <c r="R37" s="55" t="s">
        <v>22</v>
      </c>
      <c r="T37" s="78"/>
    </row>
    <row r="38" spans="1:20" s="2" customFormat="true" ht="13.95" customHeight="true">
      <c r="A38" s="16">
        <v>4</v>
      </c>
      <c r="B38" s="17" t="str">
        <f>=DISPIMG("ID_6677A89E93FF46A8AE453AEE51F0B95B",1)</f>
        <v>=DISPIMG("ID_6677A89E93FF46A8AE453AEE51F0B95B",1)</v>
      </c>
      <c r="C38" s="18" t="s">
        <v>103</v>
      </c>
      <c r="D38" s="18" t="s">
        <v>99</v>
      </c>
      <c r="E38" s="90"/>
      <c r="F38" s="90"/>
      <c r="G38" s="20" t="s">
        <v>44</v>
      </c>
      <c r="H38" s="21" t="str">
        <f>=DISPIMG("ID_228353B4F957412199EC6628B3EC2C9F",1)</f>
        <v>=DISPIMG("ID_228353B4F957412199EC6628B3EC2C9F",1)</v>
      </c>
      <c r="I38" s="86">
        <v>30.395</v>
      </c>
      <c r="J38" s="57" t="s">
        <v>26</v>
      </c>
      <c r="K38" s="23">
        <v>97</v>
      </c>
      <c r="L38" s="58">
        <f>I38*K38</f>
        <v>2948.315</v>
      </c>
      <c r="M38" s="57" t="s">
        <v>26</v>
      </c>
      <c r="N38" s="23">
        <v>0</v>
      </c>
      <c r="O38" s="23">
        <v>4</v>
      </c>
      <c r="P38" s="23">
        <f t="shared" ref="P38:P43" si="6">MAX(0,K38-O38)</f>
        <v>93</v>
      </c>
      <c r="Q38" s="23">
        <v>0</v>
      </c>
      <c r="R38" s="23"/>
      <c r="T38" s="79"/>
    </row>
    <row r="39" spans="1:20" s="2" customFormat="true">
      <c r="A39" s="16"/>
      <c r="B39" s="16"/>
      <c r="C39" s="22"/>
      <c r="D39" s="22"/>
      <c r="E39" s="90"/>
      <c r="F39" s="90"/>
      <c r="G39" s="20"/>
      <c r="H39" s="21"/>
      <c r="I39" s="87"/>
      <c r="J39" s="57" t="s">
        <v>27</v>
      </c>
      <c r="K39" s="23">
        <v>113</v>
      </c>
      <c r="L39" s="58">
        <f>I38*K39</f>
        <v>3434.635</v>
      </c>
      <c r="M39" s="57" t="s">
        <v>27</v>
      </c>
      <c r="N39" s="23">
        <v>0</v>
      </c>
      <c r="O39" s="23">
        <v>5</v>
      </c>
      <c r="P39" s="23">
        <f t="shared" si="6"/>
        <v>108</v>
      </c>
      <c r="Q39" s="23">
        <v>0</v>
      </c>
      <c r="R39" s="23"/>
      <c r="T39" s="79"/>
    </row>
    <row r="40" spans="1:20" s="2" customFormat="true">
      <c r="A40" s="16"/>
      <c r="B40" s="16"/>
      <c r="C40" s="22"/>
      <c r="D40" s="22"/>
      <c r="E40" s="90"/>
      <c r="F40" s="90"/>
      <c r="G40" s="20"/>
      <c r="H40" s="21"/>
      <c r="I40" s="87"/>
      <c r="J40" s="57" t="s">
        <v>28</v>
      </c>
      <c r="K40" s="23">
        <v>140</v>
      </c>
      <c r="L40" s="58">
        <f>I38*K40</f>
        <v>4255.3</v>
      </c>
      <c r="M40" s="57" t="s">
        <v>28</v>
      </c>
      <c r="N40" s="23">
        <v>0</v>
      </c>
      <c r="O40" s="23">
        <v>6</v>
      </c>
      <c r="P40" s="23">
        <f t="shared" si="6"/>
        <v>134</v>
      </c>
      <c r="Q40" s="23">
        <v>0</v>
      </c>
      <c r="R40" s="23"/>
      <c r="T40" s="79"/>
    </row>
    <row r="41" spans="1:20" s="2" customFormat="true">
      <c r="A41" s="16"/>
      <c r="B41" s="16"/>
      <c r="C41" s="22"/>
      <c r="D41" s="22"/>
      <c r="E41" s="90"/>
      <c r="F41" s="90"/>
      <c r="G41" s="20"/>
      <c r="H41" s="21"/>
      <c r="I41" s="87"/>
      <c r="J41" s="57" t="s">
        <v>29</v>
      </c>
      <c r="K41" s="23">
        <v>138</v>
      </c>
      <c r="L41" s="58">
        <f>I38*K41</f>
        <v>4194.51</v>
      </c>
      <c r="M41" s="57" t="s">
        <v>29</v>
      </c>
      <c r="N41" s="23">
        <v>0</v>
      </c>
      <c r="O41" s="23">
        <v>2</v>
      </c>
      <c r="P41" s="23">
        <f t="shared" si="6"/>
        <v>136</v>
      </c>
      <c r="Q41" s="23">
        <v>0</v>
      </c>
      <c r="R41" s="23"/>
      <c r="T41" s="79"/>
    </row>
    <row r="42" spans="1:20" s="2" customFormat="true">
      <c r="A42" s="16"/>
      <c r="B42" s="16"/>
      <c r="C42" s="22"/>
      <c r="D42" s="22"/>
      <c r="E42" s="90"/>
      <c r="F42" s="90"/>
      <c r="G42" s="20"/>
      <c r="H42" s="21"/>
      <c r="I42" s="87"/>
      <c r="J42" s="57" t="s">
        <v>30</v>
      </c>
      <c r="K42" s="23">
        <v>117</v>
      </c>
      <c r="L42" s="58">
        <f>I38*K42</f>
        <v>3556.215</v>
      </c>
      <c r="M42" s="57" t="s">
        <v>30</v>
      </c>
      <c r="N42" s="23">
        <v>0</v>
      </c>
      <c r="O42" s="23">
        <v>0</v>
      </c>
      <c r="P42" s="23">
        <f t="shared" si="6"/>
        <v>117</v>
      </c>
      <c r="Q42" s="23">
        <v>0</v>
      </c>
      <c r="R42" s="23"/>
      <c r="T42" s="79"/>
    </row>
    <row r="43" spans="1:20" s="2" customFormat="true">
      <c r="A43" s="16"/>
      <c r="B43" s="16"/>
      <c r="C43" s="22"/>
      <c r="D43" s="22"/>
      <c r="E43" s="90"/>
      <c r="F43" s="90"/>
      <c r="G43" s="20"/>
      <c r="H43" s="21"/>
      <c r="I43" s="88"/>
      <c r="J43" s="23" t="s">
        <v>31</v>
      </c>
      <c r="K43" s="23">
        <v>95</v>
      </c>
      <c r="L43" s="58">
        <f>I38*K43</f>
        <v>2887.525</v>
      </c>
      <c r="M43" s="23" t="s">
        <v>31</v>
      </c>
      <c r="N43" s="23">
        <v>0</v>
      </c>
      <c r="O43" s="23">
        <v>0</v>
      </c>
      <c r="P43" s="23">
        <f t="shared" si="6"/>
        <v>95</v>
      </c>
      <c r="Q43" s="23">
        <v>0</v>
      </c>
      <c r="R43" s="23"/>
      <c r="T43" s="79"/>
    </row>
    <row r="44" spans="1:20" s="2" customFormat="true">
      <c r="A44" s="24"/>
      <c r="B44" s="24"/>
      <c r="C44" s="25"/>
      <c r="D44" s="25"/>
      <c r="E44" s="90"/>
      <c r="F44" s="90"/>
      <c r="G44" s="26"/>
      <c r="H44" s="27"/>
      <c r="I44" s="62"/>
      <c r="J44" s="61" t="s">
        <v>32</v>
      </c>
      <c r="K44" s="62">
        <f t="shared" ref="K44:N44" si="7">SUM(K38:K43)</f>
        <v>700</v>
      </c>
      <c r="L44" s="63">
        <f t="shared" si="7"/>
        <v>21276.5</v>
      </c>
      <c r="M44" s="61" t="s">
        <v>32</v>
      </c>
      <c r="N44" s="62">
        <f t="shared" si="7"/>
        <v>0</v>
      </c>
      <c r="O44" s="62" cm="1">
        <f t="array" ref="O44">SUMPRODUCT(--(O38:O43))</f>
        <v>17</v>
      </c>
      <c r="P44" s="64" cm="1">
        <f t="array" ref="P44">SUMPRODUCT(--(P38:P43))</f>
        <v>683</v>
      </c>
      <c r="Q44" s="64">
        <f>SUM(Q38:Q43)</f>
        <v>0</v>
      </c>
      <c r="R44" s="64">
        <f>SUM(R38:R43)</f>
        <v>0</v>
      </c>
      <c r="T44" s="79"/>
    </row>
    <row r="45" spans="1:16" s="3" customFormat="true">
      <c r="A45" s="4"/>
      <c r="B45" s="4"/>
      <c r="C45" s="31"/>
      <c r="D45" s="31"/>
      <c r="E45" s="31"/>
      <c r="F45" s="31"/>
      <c r="G45" s="31"/>
      <c r="H45" s="31"/>
      <c r="I45" s="65"/>
      <c r="J45" s="31"/>
      <c r="K45" s="65"/>
      <c r="L45" s="65"/>
      <c r="M45" s="31"/>
      <c r="N45" s="65"/>
      <c r="O45" s="65"/>
      <c r="P45" s="65"/>
    </row>
    <row r="46"/>
    <row r="47" spans="1:14" ht="46" customHeight="true">
      <c r="A47" s="32" t="s">
        <v>45</v>
      </c>
      <c r="B47" s="33"/>
      <c r="C47" s="35" t="s">
        <v>55</v>
      </c>
      <c r="D47" s="35" t="s">
        <v>6</v>
      </c>
      <c r="E47" s="35" t="s">
        <v>7</v>
      </c>
      <c r="F47" s="35" t="s">
        <v>8</v>
      </c>
      <c r="G47" s="32" t="s">
        <v>9</v>
      </c>
      <c r="H47" s="33"/>
      <c r="I47" s="34" t="s">
        <v>46</v>
      </c>
      <c r="J47" s="34" t="s">
        <v>47</v>
      </c>
      <c r="K47" s="66" t="s">
        <v>48</v>
      </c>
      <c r="L47" s="67"/>
      <c r="M47" s="32" t="s">
        <v>49</v>
      </c>
      <c r="N47" s="33"/>
    </row>
    <row r="48" spans="1:14" ht="25.05" customHeight="true">
      <c r="A48" s="36" t="s">
        <v>104</v>
      </c>
      <c r="B48" s="37"/>
      <c r="C48" s="18" t="s">
        <v>105</v>
      </c>
      <c r="D48" s="18" t="s">
        <v>99</v>
      </c>
      <c r="E48" s="38"/>
      <c r="F48" s="38"/>
      <c r="G48" s="39" t="s">
        <v>106</v>
      </c>
      <c r="H48" s="40"/>
      <c r="I48" s="68" t="str">
        <f>SUM(K11,K22,K33,K44)&amp;"件"</f>
        <v>2793件</v>
      </c>
      <c r="J48" s="68" t="str">
        <f>SUM(O11,O22,O33,O44)&amp;"件"</f>
        <v>62件</v>
      </c>
      <c r="K48" s="69" t="str">
        <f>SUM(P11,P22,P33,P44)&amp;"件"</f>
        <v>2731件</v>
      </c>
      <c r="L48" s="70"/>
      <c r="M48" s="71"/>
      <c r="N48" s="70"/>
    </row>
    <row r="49" spans="1:14" ht="25.05" customHeight="true">
      <c r="A49" s="41"/>
      <c r="B49" s="42"/>
      <c r="C49" s="22"/>
      <c r="D49" s="22"/>
      <c r="E49" s="43"/>
      <c r="F49" s="43"/>
      <c r="G49" s="44"/>
      <c r="H49" s="45"/>
      <c r="I49" s="16"/>
      <c r="J49" s="16"/>
      <c r="K49" s="72"/>
      <c r="L49" s="73"/>
      <c r="M49" s="74"/>
      <c r="N49" s="73"/>
    </row>
    <row r="50" spans="1:14">
      <c r="A50" s="41"/>
      <c r="B50" s="42"/>
      <c r="C50" s="22"/>
      <c r="D50" s="22"/>
      <c r="E50" s="43"/>
      <c r="F50" s="43"/>
      <c r="G50" s="44"/>
      <c r="H50" s="45"/>
      <c r="I50" s="16"/>
      <c r="J50" s="16"/>
      <c r="K50" s="72"/>
      <c r="L50" s="73"/>
      <c r="M50" s="74"/>
      <c r="N50" s="73"/>
    </row>
    <row r="51" spans="1:14">
      <c r="A51" s="41"/>
      <c r="B51" s="42"/>
      <c r="C51" s="22"/>
      <c r="D51" s="22"/>
      <c r="E51" s="43"/>
      <c r="F51" s="43"/>
      <c r="G51" s="44"/>
      <c r="H51" s="45"/>
      <c r="I51" s="16"/>
      <c r="J51" s="16"/>
      <c r="K51" s="72"/>
      <c r="L51" s="73"/>
      <c r="M51" s="74"/>
      <c r="N51" s="73"/>
    </row>
    <row r="52" spans="1:14">
      <c r="A52" s="41"/>
      <c r="B52" s="42"/>
      <c r="C52" s="22"/>
      <c r="D52" s="22"/>
      <c r="E52" s="43"/>
      <c r="F52" s="43"/>
      <c r="G52" s="44"/>
      <c r="H52" s="45"/>
      <c r="I52" s="16"/>
      <c r="J52" s="16"/>
      <c r="K52" s="72"/>
      <c r="L52" s="73"/>
      <c r="M52" s="74"/>
      <c r="N52" s="73"/>
    </row>
    <row r="53" spans="1:14" customHeight="true">
      <c r="A53" s="41"/>
      <c r="B53" s="42"/>
      <c r="C53" s="22"/>
      <c r="D53" s="22"/>
      <c r="E53" s="43"/>
      <c r="F53" s="43"/>
      <c r="G53" s="44"/>
      <c r="H53" s="45"/>
      <c r="I53" s="16"/>
      <c r="J53" s="16"/>
      <c r="K53" s="72"/>
      <c r="L53" s="73"/>
      <c r="M53" s="74"/>
      <c r="N53" s="73"/>
    </row>
    <row r="54" spans="1:14">
      <c r="A54" s="46"/>
      <c r="B54" s="47"/>
      <c r="C54" s="25"/>
      <c r="D54" s="25"/>
      <c r="E54" s="48"/>
      <c r="F54" s="48"/>
      <c r="G54" s="49"/>
      <c r="H54" s="50"/>
      <c r="I54" s="24"/>
      <c r="J54" s="24"/>
      <c r="K54" s="75"/>
      <c r="L54" s="76"/>
      <c r="M54" s="77"/>
      <c r="N54" s="76"/>
    </row>
  </sheetData>
  <mergeCells count="104">
    <mergeCell ref="A1:L1"/>
    <mergeCell ref="M1:O1"/>
    <mergeCell ref="P1:R1"/>
    <mergeCell ref="A12:P12"/>
    <mergeCell ref="A23:P23"/>
    <mergeCell ref="A34:P34"/>
    <mergeCell ref="A47:B47"/>
    <mergeCell ref="G47:H47"/>
    <mergeCell ref="K47:L47"/>
    <mergeCell ref="M47:N47"/>
    <mergeCell ref="A2:A4"/>
    <mergeCell ref="A5:A11"/>
    <mergeCell ref="A13:A15"/>
    <mergeCell ref="A16:A22"/>
    <mergeCell ref="A24:A26"/>
    <mergeCell ref="A27:A33"/>
    <mergeCell ref="A35:A37"/>
    <mergeCell ref="A38:A44"/>
    <mergeCell ref="B2:B4"/>
    <mergeCell ref="B5:B11"/>
    <mergeCell ref="B13:B15"/>
    <mergeCell ref="B16:B22"/>
    <mergeCell ref="B24:B26"/>
    <mergeCell ref="B27:B33"/>
    <mergeCell ref="B35:B37"/>
    <mergeCell ref="B38:B44"/>
    <mergeCell ref="C2:C4"/>
    <mergeCell ref="C5:C11"/>
    <mergeCell ref="C13:C15"/>
    <mergeCell ref="C16:C22"/>
    <mergeCell ref="C24:C26"/>
    <mergeCell ref="C27:C33"/>
    <mergeCell ref="C35:C37"/>
    <mergeCell ref="C38:C44"/>
    <mergeCell ref="C48:C54"/>
    <mergeCell ref="D2:D4"/>
    <mergeCell ref="D5:D11"/>
    <mergeCell ref="D13:D15"/>
    <mergeCell ref="D16:D22"/>
    <mergeCell ref="D24:D26"/>
    <mergeCell ref="D27:D33"/>
    <mergeCell ref="D35:D37"/>
    <mergeCell ref="D38:D44"/>
    <mergeCell ref="D48:D54"/>
    <mergeCell ref="E2:E4"/>
    <mergeCell ref="E13:E15"/>
    <mergeCell ref="E24:E26"/>
    <mergeCell ref="E35:E37"/>
    <mergeCell ref="E48:E54"/>
    <mergeCell ref="F2:F4"/>
    <mergeCell ref="F13:F15"/>
    <mergeCell ref="F24:F26"/>
    <mergeCell ref="F35:F37"/>
    <mergeCell ref="F48:F54"/>
    <mergeCell ref="G5:G11"/>
    <mergeCell ref="G16:G22"/>
    <mergeCell ref="G27:G33"/>
    <mergeCell ref="G38:G44"/>
    <mergeCell ref="H5:H11"/>
    <mergeCell ref="H16:H22"/>
    <mergeCell ref="H27:H33"/>
    <mergeCell ref="H38:H44"/>
    <mergeCell ref="I2:I4"/>
    <mergeCell ref="I5:I10"/>
    <mergeCell ref="I13:I15"/>
    <mergeCell ref="I16:I21"/>
    <mergeCell ref="I24:I26"/>
    <mergeCell ref="I27:I32"/>
    <mergeCell ref="I35:I37"/>
    <mergeCell ref="I38:I43"/>
    <mergeCell ref="I48:I54"/>
    <mergeCell ref="J2:J4"/>
    <mergeCell ref="J13:J15"/>
    <mergeCell ref="J24:J26"/>
    <mergeCell ref="J35:J37"/>
    <mergeCell ref="J48:J54"/>
    <mergeCell ref="M2:M4"/>
    <mergeCell ref="M13:M15"/>
    <mergeCell ref="M24:M26"/>
    <mergeCell ref="M35:M37"/>
    <mergeCell ref="Q2:Q3"/>
    <mergeCell ref="Q13:Q14"/>
    <mergeCell ref="Q24:Q25"/>
    <mergeCell ref="Q35:Q36"/>
    <mergeCell ref="R2:R3"/>
    <mergeCell ref="R13:R14"/>
    <mergeCell ref="R24:R25"/>
    <mergeCell ref="R35:R36"/>
    <mergeCell ref="G2:H4"/>
    <mergeCell ref="K2:L3"/>
    <mergeCell ref="N2:P3"/>
    <mergeCell ref="G13:H15"/>
    <mergeCell ref="K13:L14"/>
    <mergeCell ref="N13:P14"/>
    <mergeCell ref="G24:H26"/>
    <mergeCell ref="K24:L25"/>
    <mergeCell ref="N24:P25"/>
    <mergeCell ref="G35:H37"/>
    <mergeCell ref="K35:L36"/>
    <mergeCell ref="N35:P36"/>
    <mergeCell ref="A48:B54"/>
    <mergeCell ref="G48:H54"/>
    <mergeCell ref="K48:L54"/>
    <mergeCell ref="M48:N54"/>
  </mergeCells>
  <pageMargins left="0.75" right="0.75" top="1" bottom="1" header="0.5" footer="0.5"/>
  <pageSetup orientation="portrait" paperSize="9"/>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U142"/>
  <sheetViews>
    <sheetView zoomScale="90" zoomScaleNormal="90" workbookViewId="0">
      <selection activeCell="P6" sqref="P6:P9"/>
    </sheetView>
  </sheetViews>
  <sheetFormatPr defaultColWidth="8.55555555555556" defaultRowHeight="14.4"/>
  <cols>
    <col customWidth="true" max="1" min="1" style="3" width="7"/>
    <col customWidth="true" max="2" min="2" style="3" width="8.77777777777778"/>
    <col customWidth="true" max="3" min="3" style="3" width="22.5925925925926"/>
    <col customWidth="true" max="4" min="4" style="3" width="9.88888888888889"/>
    <col customWidth="true" hidden="true" max="6" min="5" style="3" width="13.5740740740741"/>
    <col customWidth="true" max="7" min="7" style="3" width="13.5740740740741"/>
    <col customWidth="true" max="8" min="8" style="3" width="11.5555555555556"/>
    <col customWidth="true" max="9" min="9" style="3" width="13.9444444444444"/>
    <col customWidth="true" max="10" min="10" style="4" width="13.2037037037037"/>
    <col customWidth="true" max="11" min="11" style="3" width="12.5833333333333"/>
    <col customWidth="true" max="12" min="12" style="3" width="15.3055555555556"/>
    <col customWidth="true" max="13" min="13" style="4" width="12.5925925925926"/>
    <col customWidth="true" max="14" min="14" style="3" width="10.8611111111111"/>
    <col customWidth="true" max="15" min="15" style="3" width="11.3518518518519"/>
    <col customWidth="true" max="18" min="16" style="3" width="13.0833333333333"/>
    <col max="16384" min="19" style="3" width="8.55555555555556"/>
  </cols>
  <sheetData>
    <row r="1" spans="1:20" s="1" customFormat="true" ht="58.8" customHeight="true">
      <c r="A1" s="5" t="s">
        <v>107</v>
      </c>
      <c r="B1" s="6"/>
      <c r="C1" s="6"/>
      <c r="D1" s="6"/>
      <c r="E1" s="6"/>
      <c r="F1" s="6"/>
      <c r="G1" s="6"/>
      <c r="H1" s="6"/>
      <c r="I1" s="6"/>
      <c r="J1" s="6"/>
      <c r="K1" s="6"/>
      <c r="L1" s="6"/>
      <c r="M1" s="6" t="s">
        <v>108</v>
      </c>
      <c r="N1" s="6"/>
      <c r="O1" s="6"/>
      <c r="P1" s="51" t="s">
        <v>2</v>
      </c>
      <c r="Q1" s="6"/>
      <c r="R1" s="6"/>
      <c r="T1" s="78"/>
    </row>
    <row r="2" spans="1:20" s="1" customFormat="true" ht="10.95" customHeight="true">
      <c r="A2" s="7" t="s">
        <v>3</v>
      </c>
      <c r="B2" s="7" t="s">
        <v>4</v>
      </c>
      <c r="C2" s="7" t="s">
        <v>5</v>
      </c>
      <c r="D2" s="7" t="s">
        <v>6</v>
      </c>
      <c r="E2" s="8"/>
      <c r="F2" s="8"/>
      <c r="G2" s="8" t="s">
        <v>9</v>
      </c>
      <c r="H2" s="9"/>
      <c r="I2" s="7" t="s">
        <v>10</v>
      </c>
      <c r="J2" s="7" t="s">
        <v>11</v>
      </c>
      <c r="K2" s="52" t="s">
        <v>12</v>
      </c>
      <c r="L2" s="9"/>
      <c r="M2" s="7" t="s">
        <v>11</v>
      </c>
      <c r="N2" s="52" t="s">
        <v>13</v>
      </c>
      <c r="O2" s="52"/>
      <c r="P2" s="9"/>
      <c r="Q2" s="9" t="s">
        <v>14</v>
      </c>
      <c r="R2" s="9" t="s">
        <v>15</v>
      </c>
      <c r="T2" s="78"/>
    </row>
    <row r="3" spans="1:20" s="1" customFormat="true" ht="16.05" customHeight="true">
      <c r="A3" s="10"/>
      <c r="B3" s="10"/>
      <c r="C3" s="10"/>
      <c r="D3" s="10"/>
      <c r="E3" s="11"/>
      <c r="F3" s="11"/>
      <c r="G3" s="11"/>
      <c r="H3" s="12"/>
      <c r="I3" s="10"/>
      <c r="J3" s="10"/>
      <c r="K3" s="53"/>
      <c r="L3" s="15"/>
      <c r="M3" s="10"/>
      <c r="N3" s="53"/>
      <c r="O3" s="53"/>
      <c r="P3" s="15"/>
      <c r="Q3" s="15"/>
      <c r="R3" s="15"/>
      <c r="T3" s="78"/>
    </row>
    <row r="4" spans="1:20" s="1" customFormat="true" ht="28.95" customHeight="true">
      <c r="A4" s="13"/>
      <c r="B4" s="13"/>
      <c r="C4" s="13"/>
      <c r="D4" s="13"/>
      <c r="E4" s="14"/>
      <c r="F4" s="14"/>
      <c r="G4" s="14"/>
      <c r="H4" s="15"/>
      <c r="I4" s="13"/>
      <c r="J4" s="13"/>
      <c r="K4" s="54" t="s">
        <v>16</v>
      </c>
      <c r="L4" s="55" t="s">
        <v>17</v>
      </c>
      <c r="M4" s="13"/>
      <c r="N4" s="55" t="s">
        <v>18</v>
      </c>
      <c r="O4" s="55" t="s">
        <v>19</v>
      </c>
      <c r="P4" s="55" t="s">
        <v>20</v>
      </c>
      <c r="Q4" s="55" t="s">
        <v>21</v>
      </c>
      <c r="R4" s="55" t="s">
        <v>22</v>
      </c>
      <c r="T4" s="78"/>
    </row>
    <row r="5" spans="1:20" s="2" customFormat="true" customHeight="true">
      <c r="A5" s="16">
        <v>1</v>
      </c>
      <c r="B5" s="17" t="str">
        <f>=DISPIMG("ID_885819875031417D8BDE42E4447AD108",1)</f>
        <v>=DISPIMG("ID_885819875031417D8BDE42E4447AD108",1)</v>
      </c>
      <c r="C5" s="18" t="s">
        <v>109</v>
      </c>
      <c r="D5" s="18" t="s">
        <v>110</v>
      </c>
      <c r="E5" s="20"/>
      <c r="F5" s="20"/>
      <c r="G5" s="20" t="s">
        <v>25</v>
      </c>
      <c r="H5" s="21" t="str">
        <f>=DISPIMG("ID_C07F0F0E8D5C470990597A28887834D2",1)</f>
        <v>=DISPIMG("ID_C07F0F0E8D5C470990597A28887834D2",1)</v>
      </c>
      <c r="I5" s="56">
        <v>22.92</v>
      </c>
      <c r="J5" s="57" t="s">
        <v>26</v>
      </c>
      <c r="K5" s="23">
        <v>0</v>
      </c>
      <c r="L5" s="58">
        <f>I5*K5</f>
        <v>0</v>
      </c>
      <c r="M5" s="57" t="s">
        <v>26</v>
      </c>
      <c r="N5" s="23">
        <v>0</v>
      </c>
      <c r="O5" s="23">
        <v>0</v>
      </c>
      <c r="P5" s="23">
        <v>0</v>
      </c>
      <c r="Q5" s="23"/>
      <c r="R5" s="23"/>
      <c r="T5" s="79"/>
    </row>
    <row r="6" spans="1:20" s="2" customFormat="true">
      <c r="A6" s="16"/>
      <c r="B6" s="16"/>
      <c r="C6" s="22"/>
      <c r="D6" s="22"/>
      <c r="E6" s="20"/>
      <c r="F6" s="20"/>
      <c r="G6" s="20"/>
      <c r="H6" s="21"/>
      <c r="I6" s="59"/>
      <c r="J6" s="57" t="s">
        <v>27</v>
      </c>
      <c r="K6" s="23">
        <v>335</v>
      </c>
      <c r="L6" s="58">
        <f>I5*K6</f>
        <v>7678.2</v>
      </c>
      <c r="M6" s="57" t="s">
        <v>27</v>
      </c>
      <c r="N6" s="23">
        <v>0</v>
      </c>
      <c r="O6" s="23">
        <v>3</v>
      </c>
      <c r="P6" s="23">
        <f t="shared" ref="P6:P9" si="0">MAX(0,K6-O6)</f>
        <v>332</v>
      </c>
      <c r="Q6" s="23">
        <v>1</v>
      </c>
      <c r="R6" s="23"/>
      <c r="T6" s="79"/>
    </row>
    <row r="7" spans="1:20" s="2" customFormat="true">
      <c r="A7" s="16"/>
      <c r="B7" s="16"/>
      <c r="C7" s="22"/>
      <c r="D7" s="22"/>
      <c r="E7" s="20"/>
      <c r="F7" s="20"/>
      <c r="G7" s="20"/>
      <c r="H7" s="21"/>
      <c r="I7" s="59"/>
      <c r="J7" s="57" t="s">
        <v>28</v>
      </c>
      <c r="K7" s="23">
        <v>418</v>
      </c>
      <c r="L7" s="58">
        <f>I5*K7</f>
        <v>9580.56</v>
      </c>
      <c r="M7" s="57" t="s">
        <v>28</v>
      </c>
      <c r="N7" s="23">
        <v>0</v>
      </c>
      <c r="O7" s="23">
        <v>5</v>
      </c>
      <c r="P7" s="23">
        <f t="shared" si="0"/>
        <v>413</v>
      </c>
      <c r="Q7" s="23">
        <v>1</v>
      </c>
      <c r="R7" s="23"/>
      <c r="T7" s="79"/>
    </row>
    <row r="8" spans="1:20" s="2" customFormat="true">
      <c r="A8" s="16"/>
      <c r="B8" s="16"/>
      <c r="C8" s="22"/>
      <c r="D8" s="22"/>
      <c r="E8" s="20"/>
      <c r="F8" s="20"/>
      <c r="G8" s="20"/>
      <c r="H8" s="21"/>
      <c r="I8" s="59"/>
      <c r="J8" s="57" t="s">
        <v>29</v>
      </c>
      <c r="K8" s="23">
        <v>479</v>
      </c>
      <c r="L8" s="58">
        <f>I5*K8</f>
        <v>10978.68</v>
      </c>
      <c r="M8" s="57" t="s">
        <v>29</v>
      </c>
      <c r="N8" s="23">
        <v>0</v>
      </c>
      <c r="O8" s="23">
        <v>2</v>
      </c>
      <c r="P8" s="23">
        <f t="shared" si="0"/>
        <v>477</v>
      </c>
      <c r="Q8" s="23">
        <v>1</v>
      </c>
      <c r="R8" s="23"/>
      <c r="T8" s="79"/>
    </row>
    <row r="9" spans="1:20" s="2" customFormat="true">
      <c r="A9" s="16"/>
      <c r="B9" s="16"/>
      <c r="C9" s="22"/>
      <c r="D9" s="22"/>
      <c r="E9" s="20"/>
      <c r="F9" s="20"/>
      <c r="G9" s="20"/>
      <c r="H9" s="21"/>
      <c r="I9" s="59"/>
      <c r="J9" s="57" t="s">
        <v>30</v>
      </c>
      <c r="K9" s="23">
        <v>171</v>
      </c>
      <c r="L9" s="58">
        <f>I5*K9</f>
        <v>3919.32</v>
      </c>
      <c r="M9" s="57" t="s">
        <v>30</v>
      </c>
      <c r="N9" s="23">
        <v>0</v>
      </c>
      <c r="O9" s="23">
        <v>1</v>
      </c>
      <c r="P9" s="23">
        <f t="shared" si="0"/>
        <v>170</v>
      </c>
      <c r="Q9" s="23">
        <v>0</v>
      </c>
      <c r="R9" s="23"/>
      <c r="T9" s="79"/>
    </row>
    <row r="10" spans="1:20" s="2" customFormat="true">
      <c r="A10" s="16"/>
      <c r="B10" s="16"/>
      <c r="C10" s="22"/>
      <c r="D10" s="22"/>
      <c r="E10" s="20"/>
      <c r="F10" s="20"/>
      <c r="G10" s="20"/>
      <c r="H10" s="21"/>
      <c r="I10" s="60"/>
      <c r="J10" s="23" t="s">
        <v>31</v>
      </c>
      <c r="K10" s="23">
        <v>0</v>
      </c>
      <c r="L10" s="58">
        <f>I5*K10</f>
        <v>0</v>
      </c>
      <c r="M10" s="23" t="s">
        <v>31</v>
      </c>
      <c r="N10" s="23">
        <v>0</v>
      </c>
      <c r="O10" s="23">
        <v>0</v>
      </c>
      <c r="P10" s="23">
        <v>0</v>
      </c>
      <c r="Q10" s="23"/>
      <c r="R10" s="23"/>
      <c r="T10" s="79"/>
    </row>
    <row r="11" spans="1:20" s="2" customFormat="true">
      <c r="A11" s="24"/>
      <c r="B11" s="24"/>
      <c r="C11" s="25"/>
      <c r="D11" s="25"/>
      <c r="E11" s="26"/>
      <c r="F11" s="26"/>
      <c r="G11" s="26"/>
      <c r="H11" s="27"/>
      <c r="J11" s="61" t="s">
        <v>32</v>
      </c>
      <c r="K11" s="62">
        <f>SUM(K5:K10)</f>
        <v>1403</v>
      </c>
      <c r="L11" s="63">
        <f>SUM(L5:L10)</f>
        <v>32156.76</v>
      </c>
      <c r="M11" s="61" t="s">
        <v>32</v>
      </c>
      <c r="N11" s="62" cm="1">
        <f t="array" ref="N11">SUMPRODUCT(--(N5:N10))</f>
        <v>0</v>
      </c>
      <c r="O11" s="62" cm="1">
        <f t="array" ref="O11">SUMPRODUCT(--(O5:O10))</f>
        <v>11</v>
      </c>
      <c r="P11" s="64" cm="1">
        <f t="array" ref="P11">SUMPRODUCT(--(P5:P10))</f>
        <v>1392</v>
      </c>
      <c r="Q11" s="64">
        <f>SUM(Q5:Q10)</f>
        <v>3</v>
      </c>
      <c r="R11" s="64">
        <f>SUM(R5:R10)</f>
        <v>0</v>
      </c>
      <c r="T11" s="79"/>
    </row>
    <row r="12" spans="1:20" s="2" customFormat="true" ht="17.4" customHeight="true">
      <c r="A12" s="28"/>
      <c r="B12" s="29"/>
      <c r="C12" s="29"/>
      <c r="D12" s="29"/>
      <c r="E12" s="29"/>
      <c r="F12" s="29"/>
      <c r="G12" s="29"/>
      <c r="H12" s="29"/>
      <c r="I12" s="29"/>
      <c r="J12" s="29"/>
      <c r="K12" s="29"/>
      <c r="L12" s="29"/>
      <c r="M12" s="29"/>
      <c r="N12" s="29"/>
      <c r="O12" s="29"/>
      <c r="P12" s="29"/>
      <c r="Q12" s="29"/>
      <c r="R12" s="29"/>
      <c r="T12" s="79"/>
    </row>
    <row r="13" spans="1:21" s="1" customFormat="true" ht="10.95" customHeight="true">
      <c r="A13" s="7" t="s">
        <v>3</v>
      </c>
      <c r="B13" s="30" t="s">
        <v>4</v>
      </c>
      <c r="C13" s="7" t="s">
        <v>5</v>
      </c>
      <c r="D13" s="30" t="s">
        <v>6</v>
      </c>
      <c r="E13" s="30"/>
      <c r="F13" s="30"/>
      <c r="G13" s="30" t="s">
        <v>9</v>
      </c>
      <c r="H13" s="30"/>
      <c r="I13" s="7" t="s">
        <v>10</v>
      </c>
      <c r="J13" s="7" t="s">
        <v>11</v>
      </c>
      <c r="K13" s="8" t="s">
        <v>12</v>
      </c>
      <c r="L13" s="9"/>
      <c r="M13" s="7" t="s">
        <v>11</v>
      </c>
      <c r="N13" s="52" t="s">
        <v>13</v>
      </c>
      <c r="O13" s="52"/>
      <c r="P13" s="9"/>
      <c r="Q13" s="9" t="s">
        <v>14</v>
      </c>
      <c r="R13" s="9" t="s">
        <v>15</v>
      </c>
      <c r="T13" s="78"/>
      <c r="U13" s="2"/>
    </row>
    <row r="14" spans="1:20" s="1" customFormat="true" ht="16.05" customHeight="true">
      <c r="A14" s="10"/>
      <c r="B14" s="30"/>
      <c r="C14" s="10"/>
      <c r="D14" s="30"/>
      <c r="E14" s="30"/>
      <c r="F14" s="30"/>
      <c r="G14" s="30"/>
      <c r="H14" s="30"/>
      <c r="I14" s="10"/>
      <c r="J14" s="10"/>
      <c r="K14" s="14"/>
      <c r="L14" s="15"/>
      <c r="M14" s="10"/>
      <c r="N14" s="53"/>
      <c r="O14" s="53"/>
      <c r="P14" s="15"/>
      <c r="Q14" s="15"/>
      <c r="R14" s="15"/>
      <c r="T14" s="78"/>
    </row>
    <row r="15" spans="1:20" s="1" customFormat="true" ht="28.95" customHeight="true">
      <c r="A15" s="13"/>
      <c r="B15" s="30"/>
      <c r="C15" s="13"/>
      <c r="D15" s="30"/>
      <c r="E15" s="30"/>
      <c r="F15" s="30"/>
      <c r="G15" s="30"/>
      <c r="H15" s="30"/>
      <c r="I15" s="13"/>
      <c r="J15" s="13"/>
      <c r="K15" s="54" t="s">
        <v>16</v>
      </c>
      <c r="L15" s="55" t="s">
        <v>17</v>
      </c>
      <c r="M15" s="13"/>
      <c r="N15" s="55" t="s">
        <v>18</v>
      </c>
      <c r="O15" s="55" t="s">
        <v>19</v>
      </c>
      <c r="P15" s="55" t="s">
        <v>20</v>
      </c>
      <c r="Q15" s="55" t="s">
        <v>21</v>
      </c>
      <c r="R15" s="55" t="s">
        <v>22</v>
      </c>
      <c r="T15" s="78"/>
    </row>
    <row r="16" spans="1:20" s="2" customFormat="true" ht="13.95" customHeight="true">
      <c r="A16" s="16">
        <v>2</v>
      </c>
      <c r="B16" s="17" t="str">
        <f>=DISPIMG("ID_536C4EBEC4A5413692D260494EA438FF",1)</f>
        <v>=DISPIMG("ID_536C4EBEC4A5413692D260494EA438FF",1)</v>
      </c>
      <c r="C16" s="18" t="s">
        <v>111</v>
      </c>
      <c r="D16" s="18" t="s">
        <v>110</v>
      </c>
      <c r="E16" s="20"/>
      <c r="F16" s="20"/>
      <c r="G16" s="20" t="s">
        <v>34</v>
      </c>
      <c r="H16" s="21" t="str">
        <f>=DISPIMG("ID_AA528AEB109642CB851291505E5983A2",1)</f>
        <v>=DISPIMG("ID_AA528AEB109642CB851291505E5983A2",1)</v>
      </c>
      <c r="I16" s="56">
        <v>22.92</v>
      </c>
      <c r="J16" s="57" t="s">
        <v>26</v>
      </c>
      <c r="K16" s="23">
        <v>0</v>
      </c>
      <c r="L16" s="58">
        <f>I16*K16</f>
        <v>0</v>
      </c>
      <c r="M16" s="57" t="s">
        <v>26</v>
      </c>
      <c r="N16" s="23">
        <v>0</v>
      </c>
      <c r="O16" s="23">
        <v>0</v>
      </c>
      <c r="P16" s="23">
        <v>0</v>
      </c>
      <c r="Q16" s="23"/>
      <c r="R16" s="23"/>
      <c r="T16" s="79"/>
    </row>
    <row r="17" spans="1:20" s="2" customFormat="true">
      <c r="A17" s="16"/>
      <c r="B17" s="16"/>
      <c r="C17" s="22"/>
      <c r="D17" s="22"/>
      <c r="E17" s="20"/>
      <c r="F17" s="20"/>
      <c r="G17" s="20"/>
      <c r="H17" s="21"/>
      <c r="I17" s="59"/>
      <c r="J17" s="57" t="s">
        <v>27</v>
      </c>
      <c r="K17" s="23">
        <v>156</v>
      </c>
      <c r="L17" s="58">
        <f>I16*K17</f>
        <v>3575.52</v>
      </c>
      <c r="M17" s="57" t="s">
        <v>27</v>
      </c>
      <c r="N17" s="23">
        <v>0</v>
      </c>
      <c r="O17" s="23">
        <v>12</v>
      </c>
      <c r="P17" s="23">
        <f t="shared" ref="P17:P20" si="1">MAX(0,K17-O17)</f>
        <v>144</v>
      </c>
      <c r="Q17" s="23">
        <v>3</v>
      </c>
      <c r="R17" s="23"/>
      <c r="T17" s="79"/>
    </row>
    <row r="18" spans="1:20" s="2" customFormat="true">
      <c r="A18" s="16"/>
      <c r="B18" s="16"/>
      <c r="C18" s="22"/>
      <c r="D18" s="22"/>
      <c r="E18" s="20"/>
      <c r="F18" s="20"/>
      <c r="G18" s="20"/>
      <c r="H18" s="21"/>
      <c r="I18" s="59"/>
      <c r="J18" s="57" t="s">
        <v>28</v>
      </c>
      <c r="K18" s="23">
        <v>284</v>
      </c>
      <c r="L18" s="58">
        <f>I16*K18</f>
        <v>6509.28</v>
      </c>
      <c r="M18" s="57" t="s">
        <v>28</v>
      </c>
      <c r="N18" s="23">
        <v>0</v>
      </c>
      <c r="O18" s="23">
        <v>12</v>
      </c>
      <c r="P18" s="23">
        <f t="shared" si="1"/>
        <v>272</v>
      </c>
      <c r="Q18" s="23">
        <v>1</v>
      </c>
      <c r="R18" s="23"/>
      <c r="T18" s="79"/>
    </row>
    <row r="19" spans="1:20" s="2" customFormat="true">
      <c r="A19" s="16"/>
      <c r="B19" s="16"/>
      <c r="C19" s="22"/>
      <c r="D19" s="22"/>
      <c r="E19" s="20"/>
      <c r="F19" s="20"/>
      <c r="G19" s="20"/>
      <c r="H19" s="21"/>
      <c r="I19" s="59"/>
      <c r="J19" s="57" t="s">
        <v>29</v>
      </c>
      <c r="K19" s="23">
        <v>424</v>
      </c>
      <c r="L19" s="58">
        <f>I16*K19</f>
        <v>9718.08</v>
      </c>
      <c r="M19" s="57" t="s">
        <v>29</v>
      </c>
      <c r="N19" s="23">
        <v>0</v>
      </c>
      <c r="O19" s="23">
        <v>9</v>
      </c>
      <c r="P19" s="23">
        <f t="shared" si="1"/>
        <v>415</v>
      </c>
      <c r="Q19" s="23">
        <v>1</v>
      </c>
      <c r="R19" s="23"/>
      <c r="T19" s="79"/>
    </row>
    <row r="20" spans="1:20" s="2" customFormat="true">
      <c r="A20" s="16"/>
      <c r="B20" s="16"/>
      <c r="C20" s="22"/>
      <c r="D20" s="22"/>
      <c r="E20" s="20"/>
      <c r="F20" s="20"/>
      <c r="G20" s="20"/>
      <c r="H20" s="21"/>
      <c r="I20" s="59"/>
      <c r="J20" s="57" t="s">
        <v>30</v>
      </c>
      <c r="K20" s="23">
        <v>322</v>
      </c>
      <c r="L20" s="58">
        <f>I16*K20</f>
        <v>7380.24</v>
      </c>
      <c r="M20" s="57" t="s">
        <v>30</v>
      </c>
      <c r="N20" s="23">
        <v>0</v>
      </c>
      <c r="O20" s="23">
        <v>7</v>
      </c>
      <c r="P20" s="23">
        <f t="shared" si="1"/>
        <v>315</v>
      </c>
      <c r="Q20" s="23">
        <v>0</v>
      </c>
      <c r="R20" s="23"/>
      <c r="T20" s="79"/>
    </row>
    <row r="21" spans="1:20" s="2" customFormat="true">
      <c r="A21" s="16"/>
      <c r="B21" s="16"/>
      <c r="C21" s="22"/>
      <c r="D21" s="22"/>
      <c r="E21" s="20"/>
      <c r="F21" s="20"/>
      <c r="G21" s="20"/>
      <c r="H21" s="21"/>
      <c r="I21" s="60"/>
      <c r="J21" s="23" t="s">
        <v>31</v>
      </c>
      <c r="K21" s="23">
        <v>0</v>
      </c>
      <c r="L21" s="58">
        <f>I16*K21</f>
        <v>0</v>
      </c>
      <c r="M21" s="23" t="s">
        <v>31</v>
      </c>
      <c r="N21" s="23">
        <v>0</v>
      </c>
      <c r="O21" s="23">
        <v>0</v>
      </c>
      <c r="P21" s="23">
        <v>0</v>
      </c>
      <c r="Q21" s="23"/>
      <c r="R21" s="23"/>
      <c r="T21" s="79"/>
    </row>
    <row r="22" spans="1:20" s="2" customFormat="true">
      <c r="A22" s="24"/>
      <c r="B22" s="24"/>
      <c r="C22" s="25"/>
      <c r="D22" s="25"/>
      <c r="E22" s="26"/>
      <c r="F22" s="26"/>
      <c r="G22" s="26"/>
      <c r="H22" s="27"/>
      <c r="I22" s="62"/>
      <c r="J22" s="61" t="s">
        <v>32</v>
      </c>
      <c r="K22" s="62">
        <f>SUM(K16:K21)</f>
        <v>1186</v>
      </c>
      <c r="L22" s="63">
        <f>SUM(L16:L21)</f>
        <v>27183.12</v>
      </c>
      <c r="M22" s="61" t="s">
        <v>32</v>
      </c>
      <c r="N22" s="62" cm="1">
        <f t="array" ref="N22">SUMPRODUCT(--(N16:N21))</f>
        <v>0</v>
      </c>
      <c r="O22" s="62" cm="1">
        <f t="array" ref="O22">SUMPRODUCT(--(O16:O21))</f>
        <v>40</v>
      </c>
      <c r="P22" s="64" cm="1">
        <f t="array" ref="P22">SUMPRODUCT(--(P16:P21))</f>
        <v>1146</v>
      </c>
      <c r="Q22" s="64">
        <f>SUM(Q16:Q21)</f>
        <v>5</v>
      </c>
      <c r="R22" s="64">
        <f>SUM(R16:R21)</f>
        <v>0</v>
      </c>
      <c r="T22" s="79"/>
    </row>
    <row r="23" spans="1:20" s="2" customFormat="true" ht="17.4" customHeight="true">
      <c r="A23" s="28" t="s">
        <v>5</v>
      </c>
      <c r="B23" s="29"/>
      <c r="C23" s="29"/>
      <c r="D23" s="29"/>
      <c r="E23" s="29"/>
      <c r="F23" s="29"/>
      <c r="G23" s="29"/>
      <c r="H23" s="29"/>
      <c r="I23" s="29"/>
      <c r="J23" s="29"/>
      <c r="K23" s="29"/>
      <c r="L23" s="29"/>
      <c r="M23" s="29"/>
      <c r="N23" s="29"/>
      <c r="O23" s="29"/>
      <c r="P23" s="29"/>
      <c r="Q23" s="65"/>
      <c r="R23" s="65"/>
      <c r="T23" s="79"/>
    </row>
    <row r="24" spans="1:20" s="1" customFormat="true" ht="10.95" customHeight="true">
      <c r="A24" s="7" t="s">
        <v>3</v>
      </c>
      <c r="B24" s="30" t="s">
        <v>4</v>
      </c>
      <c r="C24" s="7" t="s">
        <v>5</v>
      </c>
      <c r="D24" s="30" t="s">
        <v>6</v>
      </c>
      <c r="E24" s="30"/>
      <c r="F24" s="30"/>
      <c r="G24" s="30" t="s">
        <v>9</v>
      </c>
      <c r="H24" s="30"/>
      <c r="I24" s="7" t="s">
        <v>10</v>
      </c>
      <c r="J24" s="7" t="s">
        <v>11</v>
      </c>
      <c r="K24" s="8" t="s">
        <v>12</v>
      </c>
      <c r="L24" s="9"/>
      <c r="M24" s="7" t="s">
        <v>11</v>
      </c>
      <c r="N24" s="52" t="s">
        <v>13</v>
      </c>
      <c r="O24" s="52"/>
      <c r="P24" s="9"/>
      <c r="Q24" s="9" t="s">
        <v>14</v>
      </c>
      <c r="R24" s="9" t="s">
        <v>15</v>
      </c>
      <c r="T24" s="78"/>
    </row>
    <row r="25" spans="1:20" s="1" customFormat="true" ht="16.05" customHeight="true">
      <c r="A25" s="10"/>
      <c r="B25" s="30"/>
      <c r="C25" s="10"/>
      <c r="D25" s="30"/>
      <c r="E25" s="30"/>
      <c r="F25" s="30"/>
      <c r="G25" s="30"/>
      <c r="H25" s="30"/>
      <c r="I25" s="10"/>
      <c r="J25" s="10"/>
      <c r="K25" s="14"/>
      <c r="L25" s="15"/>
      <c r="M25" s="10"/>
      <c r="N25" s="53"/>
      <c r="O25" s="53"/>
      <c r="P25" s="15"/>
      <c r="Q25" s="15"/>
      <c r="R25" s="15"/>
      <c r="T25" s="78"/>
    </row>
    <row r="26" spans="1:20" s="1" customFormat="true" ht="28.95" customHeight="true">
      <c r="A26" s="13"/>
      <c r="B26" s="30"/>
      <c r="C26" s="13"/>
      <c r="D26" s="30"/>
      <c r="E26" s="30"/>
      <c r="F26" s="30"/>
      <c r="G26" s="30"/>
      <c r="H26" s="30"/>
      <c r="I26" s="13"/>
      <c r="J26" s="13"/>
      <c r="K26" s="54" t="s">
        <v>16</v>
      </c>
      <c r="L26" s="55" t="s">
        <v>17</v>
      </c>
      <c r="M26" s="13"/>
      <c r="N26" s="55" t="s">
        <v>18</v>
      </c>
      <c r="O26" s="55" t="s">
        <v>19</v>
      </c>
      <c r="P26" s="55" t="s">
        <v>20</v>
      </c>
      <c r="Q26" s="55" t="s">
        <v>21</v>
      </c>
      <c r="R26" s="55" t="s">
        <v>22</v>
      </c>
      <c r="T26" s="78"/>
    </row>
    <row r="27" spans="1:20" s="2" customFormat="true" ht="13.95" customHeight="true">
      <c r="A27" s="16">
        <v>3</v>
      </c>
      <c r="B27" s="17" t="str">
        <f>=DISPIMG("ID_2D4E707EC78E46C58A2304D058DD4A61",1)</f>
        <v>=DISPIMG("ID_2D4E707EC78E46C58A2304D058DD4A61",1)</v>
      </c>
      <c r="C27" s="18" t="s">
        <v>112</v>
      </c>
      <c r="D27" s="18" t="s">
        <v>110</v>
      </c>
      <c r="E27" s="20"/>
      <c r="F27" s="20"/>
      <c r="G27" s="20" t="s">
        <v>113</v>
      </c>
      <c r="H27" s="21" t="str">
        <f>=DISPIMG("ID_CF1B333C94264FA6B7FFBEDC73367B3F",1)</f>
        <v>=DISPIMG("ID_CF1B333C94264FA6B7FFBEDC73367B3F",1)</v>
      </c>
      <c r="I27" s="56">
        <v>22.92</v>
      </c>
      <c r="J27" s="57" t="s">
        <v>26</v>
      </c>
      <c r="K27" s="23">
        <v>0</v>
      </c>
      <c r="L27" s="58">
        <f>I27*K27</f>
        <v>0</v>
      </c>
      <c r="M27" s="57" t="s">
        <v>26</v>
      </c>
      <c r="N27" s="23">
        <v>0</v>
      </c>
      <c r="O27" s="23">
        <f>K27-P27</f>
        <v>0</v>
      </c>
      <c r="P27" s="23">
        <v>0</v>
      </c>
      <c r="Q27" s="23"/>
      <c r="R27" s="23"/>
      <c r="T27" s="79"/>
    </row>
    <row r="28" spans="1:20" s="2" customFormat="true">
      <c r="A28" s="16"/>
      <c r="B28" s="16"/>
      <c r="C28" s="22"/>
      <c r="D28" s="22"/>
      <c r="E28" s="20"/>
      <c r="F28" s="20"/>
      <c r="G28" s="20"/>
      <c r="H28" s="21"/>
      <c r="I28" s="59"/>
      <c r="J28" s="57" t="s">
        <v>27</v>
      </c>
      <c r="K28" s="23">
        <v>278</v>
      </c>
      <c r="L28" s="58">
        <f>I27*K28</f>
        <v>6371.76</v>
      </c>
      <c r="M28" s="57" t="s">
        <v>27</v>
      </c>
      <c r="N28" s="23">
        <v>0</v>
      </c>
      <c r="O28" s="23">
        <v>5</v>
      </c>
      <c r="P28" s="23">
        <f t="shared" ref="P28:P31" si="2">MAX(0,K28-O28)</f>
        <v>273</v>
      </c>
      <c r="Q28" s="23">
        <v>1</v>
      </c>
      <c r="R28" s="23"/>
      <c r="T28" s="79"/>
    </row>
    <row r="29" spans="1:20" s="2" customFormat="true">
      <c r="A29" s="16"/>
      <c r="B29" s="16"/>
      <c r="C29" s="22"/>
      <c r="D29" s="22"/>
      <c r="E29" s="20"/>
      <c r="F29" s="20"/>
      <c r="G29" s="20"/>
      <c r="H29" s="21"/>
      <c r="I29" s="59"/>
      <c r="J29" s="57" t="s">
        <v>28</v>
      </c>
      <c r="K29" s="23">
        <v>445</v>
      </c>
      <c r="L29" s="58">
        <f>I27*K29</f>
        <v>10199.4</v>
      </c>
      <c r="M29" s="57" t="s">
        <v>28</v>
      </c>
      <c r="N29" s="23">
        <v>0</v>
      </c>
      <c r="O29" s="23">
        <v>8</v>
      </c>
      <c r="P29" s="23">
        <f t="shared" si="2"/>
        <v>437</v>
      </c>
      <c r="Q29" s="23">
        <v>2</v>
      </c>
      <c r="R29" s="23"/>
      <c r="T29" s="79"/>
    </row>
    <row r="30" spans="1:20" s="2" customFormat="true">
      <c r="A30" s="16"/>
      <c r="B30" s="16"/>
      <c r="C30" s="22"/>
      <c r="D30" s="22"/>
      <c r="E30" s="20"/>
      <c r="F30" s="20"/>
      <c r="G30" s="20"/>
      <c r="H30" s="21"/>
      <c r="I30" s="59"/>
      <c r="J30" s="57" t="s">
        <v>29</v>
      </c>
      <c r="K30" s="23">
        <v>461</v>
      </c>
      <c r="L30" s="58">
        <f>I27*K30</f>
        <v>10566.12</v>
      </c>
      <c r="M30" s="57" t="s">
        <v>29</v>
      </c>
      <c r="N30" s="23">
        <v>0</v>
      </c>
      <c r="O30" s="23">
        <v>7</v>
      </c>
      <c r="P30" s="23">
        <f t="shared" si="2"/>
        <v>454</v>
      </c>
      <c r="Q30" s="23">
        <v>3</v>
      </c>
      <c r="R30" s="23"/>
      <c r="T30" s="79"/>
    </row>
    <row r="31" spans="1:20" s="2" customFormat="true">
      <c r="A31" s="16"/>
      <c r="B31" s="16"/>
      <c r="C31" s="22"/>
      <c r="D31" s="22"/>
      <c r="E31" s="20"/>
      <c r="F31" s="20"/>
      <c r="G31" s="20"/>
      <c r="H31" s="21"/>
      <c r="I31" s="59"/>
      <c r="J31" s="57" t="s">
        <v>30</v>
      </c>
      <c r="K31" s="23">
        <v>300</v>
      </c>
      <c r="L31" s="58">
        <f>I27*K31</f>
        <v>6876</v>
      </c>
      <c r="M31" s="57" t="s">
        <v>30</v>
      </c>
      <c r="N31" s="23">
        <v>0</v>
      </c>
      <c r="O31" s="23">
        <v>4</v>
      </c>
      <c r="P31" s="23">
        <f t="shared" si="2"/>
        <v>296</v>
      </c>
      <c r="Q31" s="23">
        <v>1</v>
      </c>
      <c r="R31" s="23"/>
      <c r="T31" s="79"/>
    </row>
    <row r="32" spans="1:20" s="2" customFormat="true">
      <c r="A32" s="16"/>
      <c r="B32" s="16"/>
      <c r="C32" s="22"/>
      <c r="D32" s="22"/>
      <c r="E32" s="20"/>
      <c r="F32" s="20"/>
      <c r="G32" s="20"/>
      <c r="H32" s="21"/>
      <c r="I32" s="60"/>
      <c r="J32" s="23" t="s">
        <v>31</v>
      </c>
      <c r="K32" s="23">
        <v>0</v>
      </c>
      <c r="L32" s="58">
        <f>I27*K32</f>
        <v>0</v>
      </c>
      <c r="M32" s="23" t="s">
        <v>31</v>
      </c>
      <c r="N32" s="23">
        <v>0</v>
      </c>
      <c r="O32" s="23">
        <f>K32-P32</f>
        <v>0</v>
      </c>
      <c r="P32" s="23">
        <v>0</v>
      </c>
      <c r="Q32" s="23"/>
      <c r="R32" s="23"/>
      <c r="T32" s="79"/>
    </row>
    <row r="33" spans="1:20" s="2" customFormat="true">
      <c r="A33" s="24"/>
      <c r="B33" s="24"/>
      <c r="C33" s="25"/>
      <c r="D33" s="25"/>
      <c r="E33" s="26"/>
      <c r="F33" s="26"/>
      <c r="G33" s="26"/>
      <c r="H33" s="27"/>
      <c r="I33" s="62"/>
      <c r="J33" s="61" t="s">
        <v>32</v>
      </c>
      <c r="K33" s="62">
        <f>SUM(K27:K32)</f>
        <v>1484</v>
      </c>
      <c r="L33" s="63">
        <f>SUM(L27:L32)</f>
        <v>34013.28</v>
      </c>
      <c r="M33" s="61" t="s">
        <v>32</v>
      </c>
      <c r="N33" s="62" cm="1">
        <f t="array" ref="N33">SUMPRODUCT(--(N27:N32))</f>
        <v>0</v>
      </c>
      <c r="O33" s="62" cm="1">
        <f t="array" ref="O33">SUMPRODUCT(--(O27:O32))</f>
        <v>24</v>
      </c>
      <c r="P33" s="64" cm="1">
        <f t="array" ref="P33">SUMPRODUCT(--(P27:P32))</f>
        <v>1460</v>
      </c>
      <c r="Q33" s="64">
        <f>SUM(Q27:Q32)</f>
        <v>7</v>
      </c>
      <c r="R33" s="64">
        <f>SUM(R27:R32)</f>
        <v>0</v>
      </c>
      <c r="T33" s="79"/>
    </row>
    <row r="34" spans="1:20" s="2" customFormat="true" ht="17.4" customHeight="true">
      <c r="A34" s="28"/>
      <c r="B34" s="29"/>
      <c r="C34" s="29"/>
      <c r="D34" s="29"/>
      <c r="E34" s="29"/>
      <c r="F34" s="29"/>
      <c r="G34" s="29"/>
      <c r="H34" s="29"/>
      <c r="I34" s="29"/>
      <c r="J34" s="29"/>
      <c r="K34" s="29"/>
      <c r="L34" s="29"/>
      <c r="M34" s="29"/>
      <c r="N34" s="29"/>
      <c r="O34" s="29"/>
      <c r="P34" s="29"/>
      <c r="Q34" s="29"/>
      <c r="R34" s="29"/>
      <c r="T34" s="79"/>
    </row>
    <row r="35" spans="1:20" s="1" customFormat="true" ht="10.95" customHeight="true">
      <c r="A35" s="7" t="s">
        <v>3</v>
      </c>
      <c r="B35" s="30" t="s">
        <v>4</v>
      </c>
      <c r="C35" s="7" t="s">
        <v>5</v>
      </c>
      <c r="D35" s="30" t="s">
        <v>6</v>
      </c>
      <c r="E35" s="30"/>
      <c r="F35" s="30"/>
      <c r="G35" s="30" t="s">
        <v>9</v>
      </c>
      <c r="H35" s="30"/>
      <c r="I35" s="7" t="s">
        <v>10</v>
      </c>
      <c r="J35" s="7" t="s">
        <v>11</v>
      </c>
      <c r="K35" s="8" t="s">
        <v>12</v>
      </c>
      <c r="L35" s="9"/>
      <c r="M35" s="7" t="s">
        <v>11</v>
      </c>
      <c r="N35" s="52" t="s">
        <v>13</v>
      </c>
      <c r="O35" s="52"/>
      <c r="P35" s="9"/>
      <c r="Q35" s="9" t="s">
        <v>14</v>
      </c>
      <c r="R35" s="9" t="s">
        <v>15</v>
      </c>
      <c r="T35" s="78"/>
    </row>
    <row r="36" spans="1:20" s="1" customFormat="true" ht="16.05" customHeight="true">
      <c r="A36" s="10"/>
      <c r="B36" s="30"/>
      <c r="C36" s="10"/>
      <c r="D36" s="30"/>
      <c r="E36" s="30"/>
      <c r="F36" s="30"/>
      <c r="G36" s="30"/>
      <c r="H36" s="30"/>
      <c r="I36" s="10"/>
      <c r="J36" s="10"/>
      <c r="K36" s="14"/>
      <c r="L36" s="15"/>
      <c r="M36" s="10"/>
      <c r="N36" s="53"/>
      <c r="O36" s="53"/>
      <c r="P36" s="15"/>
      <c r="Q36" s="15"/>
      <c r="R36" s="15"/>
      <c r="T36" s="78"/>
    </row>
    <row r="37" spans="1:20" s="1" customFormat="true" ht="28.95" customHeight="true">
      <c r="A37" s="13"/>
      <c r="B37" s="30"/>
      <c r="C37" s="13"/>
      <c r="D37" s="30"/>
      <c r="E37" s="30"/>
      <c r="F37" s="30"/>
      <c r="G37" s="30"/>
      <c r="H37" s="30"/>
      <c r="I37" s="13"/>
      <c r="J37" s="13"/>
      <c r="K37" s="54" t="s">
        <v>16</v>
      </c>
      <c r="L37" s="55" t="s">
        <v>17</v>
      </c>
      <c r="M37" s="13"/>
      <c r="N37" s="55" t="s">
        <v>18</v>
      </c>
      <c r="O37" s="55" t="s">
        <v>19</v>
      </c>
      <c r="P37" s="55" t="s">
        <v>20</v>
      </c>
      <c r="Q37" s="55" t="s">
        <v>21</v>
      </c>
      <c r="R37" s="55" t="s">
        <v>22</v>
      </c>
      <c r="T37" s="78"/>
    </row>
    <row r="38" spans="1:20" s="2" customFormat="true" ht="13.95" customHeight="true">
      <c r="A38" s="16">
        <v>4</v>
      </c>
      <c r="B38" s="17" t="str">
        <f>=DISPIMG("ID_DD9EA1A08E8C4488BF3D5A8837C607CF",1)</f>
        <v>=DISPIMG("ID_DD9EA1A08E8C4488BF3D5A8837C607CF",1)</v>
      </c>
      <c r="C38" s="18" t="s">
        <v>114</v>
      </c>
      <c r="D38" s="18" t="s">
        <v>110</v>
      </c>
      <c r="E38" s="20"/>
      <c r="F38" s="20"/>
      <c r="G38" s="20" t="s">
        <v>101</v>
      </c>
      <c r="H38" s="21" t="str">
        <f>=DISPIMG("ID_112A01E360384481A3F3A4D8236C6FB4",1)</f>
        <v>=DISPIMG("ID_112A01E360384481A3F3A4D8236C6FB4",1)</v>
      </c>
      <c r="I38" s="56">
        <v>22.92</v>
      </c>
      <c r="J38" s="57" t="s">
        <v>26</v>
      </c>
      <c r="K38" s="23">
        <v>0</v>
      </c>
      <c r="L38" s="58">
        <f>I38*K38</f>
        <v>0</v>
      </c>
      <c r="M38" s="57" t="s">
        <v>26</v>
      </c>
      <c r="N38" s="23">
        <v>0</v>
      </c>
      <c r="O38" s="23">
        <f>K38-P38</f>
        <v>0</v>
      </c>
      <c r="P38" s="23">
        <v>0</v>
      </c>
      <c r="Q38" s="23"/>
      <c r="R38" s="23"/>
      <c r="T38" s="79"/>
    </row>
    <row r="39" spans="1:20" s="2" customFormat="true">
      <c r="A39" s="16"/>
      <c r="B39" s="16"/>
      <c r="C39" s="22"/>
      <c r="D39" s="22"/>
      <c r="E39" s="20"/>
      <c r="F39" s="20"/>
      <c r="G39" s="20"/>
      <c r="H39" s="21"/>
      <c r="I39" s="59"/>
      <c r="J39" s="57" t="s">
        <v>27</v>
      </c>
      <c r="K39" s="23">
        <v>30</v>
      </c>
      <c r="L39" s="58">
        <f>I38*K39</f>
        <v>687.6</v>
      </c>
      <c r="M39" s="57" t="s">
        <v>27</v>
      </c>
      <c r="N39" s="23">
        <v>0</v>
      </c>
      <c r="O39" s="23">
        <v>1</v>
      </c>
      <c r="P39" s="23">
        <f t="shared" ref="P39:P42" si="3">MAX(0,K39-O39)</f>
        <v>29</v>
      </c>
      <c r="Q39" s="23">
        <v>0</v>
      </c>
      <c r="R39" s="23"/>
      <c r="T39" s="79"/>
    </row>
    <row r="40" spans="1:20" s="2" customFormat="true">
      <c r="A40" s="16"/>
      <c r="B40" s="16"/>
      <c r="C40" s="22"/>
      <c r="D40" s="22"/>
      <c r="E40" s="20"/>
      <c r="F40" s="20"/>
      <c r="G40" s="20"/>
      <c r="H40" s="21"/>
      <c r="I40" s="59"/>
      <c r="J40" s="57" t="s">
        <v>28</v>
      </c>
      <c r="K40" s="23">
        <v>30</v>
      </c>
      <c r="L40" s="58">
        <f>I38*K40</f>
        <v>687.6</v>
      </c>
      <c r="M40" s="57" t="s">
        <v>28</v>
      </c>
      <c r="N40" s="23">
        <v>0</v>
      </c>
      <c r="O40" s="23">
        <v>5</v>
      </c>
      <c r="P40" s="23">
        <f t="shared" si="3"/>
        <v>25</v>
      </c>
      <c r="Q40" s="23">
        <v>0</v>
      </c>
      <c r="R40" s="23"/>
      <c r="T40" s="79"/>
    </row>
    <row r="41" spans="1:20" s="2" customFormat="true">
      <c r="A41" s="16"/>
      <c r="B41" s="16"/>
      <c r="C41" s="22"/>
      <c r="D41" s="22"/>
      <c r="E41" s="20"/>
      <c r="F41" s="20"/>
      <c r="G41" s="20"/>
      <c r="H41" s="21"/>
      <c r="I41" s="59"/>
      <c r="J41" s="57" t="s">
        <v>29</v>
      </c>
      <c r="K41" s="23">
        <v>30</v>
      </c>
      <c r="L41" s="58">
        <f>I38*K41</f>
        <v>687.6</v>
      </c>
      <c r="M41" s="57" t="s">
        <v>29</v>
      </c>
      <c r="N41" s="23">
        <v>0</v>
      </c>
      <c r="O41" s="23">
        <v>0</v>
      </c>
      <c r="P41" s="23">
        <f t="shared" si="3"/>
        <v>30</v>
      </c>
      <c r="Q41" s="23">
        <v>0</v>
      </c>
      <c r="R41" s="23"/>
      <c r="T41" s="79"/>
    </row>
    <row r="42" spans="1:20" s="2" customFormat="true">
      <c r="A42" s="16"/>
      <c r="B42" s="16"/>
      <c r="C42" s="22"/>
      <c r="D42" s="22"/>
      <c r="E42" s="20"/>
      <c r="F42" s="20"/>
      <c r="G42" s="20"/>
      <c r="H42" s="21"/>
      <c r="I42" s="59"/>
      <c r="J42" s="57" t="s">
        <v>30</v>
      </c>
      <c r="K42" s="23">
        <v>30</v>
      </c>
      <c r="L42" s="58">
        <f>I38*K42</f>
        <v>687.6</v>
      </c>
      <c r="M42" s="57" t="s">
        <v>30</v>
      </c>
      <c r="N42" s="23">
        <v>0</v>
      </c>
      <c r="O42" s="23">
        <v>1</v>
      </c>
      <c r="P42" s="23">
        <f t="shared" si="3"/>
        <v>29</v>
      </c>
      <c r="Q42" s="23">
        <v>0</v>
      </c>
      <c r="R42" s="23"/>
      <c r="T42" s="79"/>
    </row>
    <row r="43" spans="1:20" s="2" customFormat="true">
      <c r="A43" s="16"/>
      <c r="B43" s="16"/>
      <c r="C43" s="22"/>
      <c r="D43" s="22"/>
      <c r="E43" s="20"/>
      <c r="F43" s="20"/>
      <c r="G43" s="20"/>
      <c r="H43" s="21"/>
      <c r="I43" s="60"/>
      <c r="J43" s="23" t="s">
        <v>31</v>
      </c>
      <c r="K43" s="23">
        <v>0</v>
      </c>
      <c r="L43" s="58">
        <f>I38*K43</f>
        <v>0</v>
      </c>
      <c r="M43" s="23" t="s">
        <v>31</v>
      </c>
      <c r="N43" s="23">
        <v>0</v>
      </c>
      <c r="O43" s="23">
        <f>K43-P43</f>
        <v>0</v>
      </c>
      <c r="P43" s="23">
        <v>0</v>
      </c>
      <c r="Q43" s="23"/>
      <c r="R43" s="23"/>
      <c r="T43" s="79"/>
    </row>
    <row r="44" spans="1:20" s="2" customFormat="true">
      <c r="A44" s="24"/>
      <c r="B44" s="24"/>
      <c r="C44" s="25"/>
      <c r="D44" s="25"/>
      <c r="E44" s="26"/>
      <c r="F44" s="26"/>
      <c r="G44" s="26"/>
      <c r="H44" s="27"/>
      <c r="I44" s="62"/>
      <c r="J44" s="61" t="s">
        <v>32</v>
      </c>
      <c r="K44" s="62">
        <f>SUM(K38:K43)</f>
        <v>120</v>
      </c>
      <c r="L44" s="63">
        <f>SUM(L38:L43)</f>
        <v>2750.4</v>
      </c>
      <c r="M44" s="61" t="s">
        <v>32</v>
      </c>
      <c r="N44" s="62" cm="1">
        <f t="array" ref="N44">SUMPRODUCT(--(N38:N43))</f>
        <v>0</v>
      </c>
      <c r="O44" s="62" cm="1">
        <f t="array" ref="O44">SUMPRODUCT(--(O38:O43))</f>
        <v>7</v>
      </c>
      <c r="P44" s="64" cm="1">
        <f t="array" ref="P44">SUMPRODUCT(--(P38:P43))</f>
        <v>113</v>
      </c>
      <c r="Q44" s="64">
        <f>SUM(Q38:Q43)</f>
        <v>0</v>
      </c>
      <c r="R44" s="64">
        <f>SUM(R38:R43)</f>
        <v>0</v>
      </c>
      <c r="T44" s="79"/>
    </row>
    <row r="45" spans="1:20" s="2" customFormat="true" ht="17.4" customHeight="true">
      <c r="A45" s="93" t="s">
        <v>87</v>
      </c>
      <c r="B45" s="29"/>
      <c r="C45" s="29"/>
      <c r="D45" s="29"/>
      <c r="E45" s="29"/>
      <c r="F45" s="29"/>
      <c r="G45" s="29"/>
      <c r="H45" s="29"/>
      <c r="I45" s="29"/>
      <c r="J45" s="29"/>
      <c r="K45" s="29"/>
      <c r="L45" s="29"/>
      <c r="M45" s="29"/>
      <c r="N45" s="29"/>
      <c r="O45" s="29"/>
      <c r="P45" s="29"/>
      <c r="T45" s="79"/>
    </row>
    <row r="46" spans="1:20" s="1" customFormat="true" ht="10.95" customHeight="true">
      <c r="A46" s="7" t="s">
        <v>3</v>
      </c>
      <c r="B46" s="30" t="s">
        <v>4</v>
      </c>
      <c r="C46" s="7" t="s">
        <v>5</v>
      </c>
      <c r="D46" s="30" t="s">
        <v>6</v>
      </c>
      <c r="E46" s="30"/>
      <c r="F46" s="30"/>
      <c r="G46" s="30" t="s">
        <v>9</v>
      </c>
      <c r="H46" s="30"/>
      <c r="I46" s="7" t="s">
        <v>10</v>
      </c>
      <c r="J46" s="7" t="s">
        <v>11</v>
      </c>
      <c r="K46" s="8" t="s">
        <v>12</v>
      </c>
      <c r="L46" s="9"/>
      <c r="M46" s="7" t="s">
        <v>11</v>
      </c>
      <c r="N46" s="52" t="s">
        <v>13</v>
      </c>
      <c r="O46" s="52"/>
      <c r="P46" s="9"/>
      <c r="Q46" s="9" t="s">
        <v>14</v>
      </c>
      <c r="R46" s="9" t="s">
        <v>15</v>
      </c>
      <c r="T46" s="78"/>
    </row>
    <row r="47" spans="1:20" s="1" customFormat="true" ht="16.05" customHeight="true">
      <c r="A47" s="10"/>
      <c r="B47" s="30"/>
      <c r="C47" s="10"/>
      <c r="D47" s="30"/>
      <c r="E47" s="30"/>
      <c r="F47" s="30"/>
      <c r="G47" s="30"/>
      <c r="H47" s="30"/>
      <c r="I47" s="10"/>
      <c r="J47" s="10"/>
      <c r="K47" s="14"/>
      <c r="L47" s="15"/>
      <c r="M47" s="10"/>
      <c r="N47" s="53"/>
      <c r="O47" s="53"/>
      <c r="P47" s="15"/>
      <c r="Q47" s="15"/>
      <c r="R47" s="15"/>
      <c r="T47" s="78"/>
    </row>
    <row r="48" spans="1:20" s="1" customFormat="true" ht="28.95" customHeight="true">
      <c r="A48" s="13"/>
      <c r="B48" s="30"/>
      <c r="C48" s="13"/>
      <c r="D48" s="30"/>
      <c r="E48" s="30"/>
      <c r="F48" s="30"/>
      <c r="G48" s="30"/>
      <c r="H48" s="30"/>
      <c r="I48" s="13"/>
      <c r="J48" s="13"/>
      <c r="K48" s="54" t="s">
        <v>16</v>
      </c>
      <c r="L48" s="55" t="s">
        <v>17</v>
      </c>
      <c r="M48" s="13"/>
      <c r="N48" s="55" t="s">
        <v>18</v>
      </c>
      <c r="O48" s="55" t="s">
        <v>19</v>
      </c>
      <c r="P48" s="55" t="s">
        <v>20</v>
      </c>
      <c r="Q48" s="55" t="s">
        <v>21</v>
      </c>
      <c r="R48" s="55" t="s">
        <v>22</v>
      </c>
      <c r="T48" s="78"/>
    </row>
    <row r="49" spans="1:20" s="2" customFormat="true" ht="13.95" customHeight="true">
      <c r="A49" s="16">
        <v>5</v>
      </c>
      <c r="B49" s="17" t="str">
        <f>=DISPIMG("ID_DE7645AEF6C546E5BF519CD4159BE668",1)</f>
        <v>=DISPIMG("ID_DE7645AEF6C546E5BF519CD4159BE668",1)</v>
      </c>
      <c r="C49" s="18" t="s">
        <v>115</v>
      </c>
      <c r="D49" s="18" t="s">
        <v>110</v>
      </c>
      <c r="E49" s="20"/>
      <c r="F49" s="20"/>
      <c r="G49" s="20" t="s">
        <v>116</v>
      </c>
      <c r="H49" s="21" t="str">
        <f>=DISPIMG("ID_04B25B1976CB4B638F7D4B32987DB93D",1)</f>
        <v>=DISPIMG("ID_04B25B1976CB4B638F7D4B32987DB93D",1)</v>
      </c>
      <c r="I49" s="86">
        <v>24.395</v>
      </c>
      <c r="J49" s="57" t="s">
        <v>26</v>
      </c>
      <c r="K49" s="23">
        <v>0</v>
      </c>
      <c r="L49" s="58">
        <f>I49*K49</f>
        <v>0</v>
      </c>
      <c r="M49" s="57" t="s">
        <v>26</v>
      </c>
      <c r="N49" s="23">
        <v>0</v>
      </c>
      <c r="O49" s="23">
        <f>K49-P49</f>
        <v>0</v>
      </c>
      <c r="P49" s="23">
        <v>0</v>
      </c>
      <c r="Q49" s="23"/>
      <c r="R49" s="23"/>
      <c r="T49" s="79"/>
    </row>
    <row r="50" spans="1:20" s="2" customFormat="true">
      <c r="A50" s="16"/>
      <c r="B50" s="16"/>
      <c r="C50" s="22"/>
      <c r="D50" s="22"/>
      <c r="E50" s="20"/>
      <c r="F50" s="20"/>
      <c r="G50" s="20"/>
      <c r="H50" s="21"/>
      <c r="I50" s="87"/>
      <c r="J50" s="57" t="s">
        <v>27</v>
      </c>
      <c r="K50" s="23">
        <v>195</v>
      </c>
      <c r="L50" s="58">
        <f>I49*K50</f>
        <v>4757.025</v>
      </c>
      <c r="M50" s="57" t="s">
        <v>27</v>
      </c>
      <c r="N50" s="23">
        <v>0</v>
      </c>
      <c r="O50" s="23">
        <v>3</v>
      </c>
      <c r="P50" s="23">
        <f t="shared" ref="P50:P53" si="4">MAX(0,K50-O50)</f>
        <v>192</v>
      </c>
      <c r="Q50" s="23">
        <v>2</v>
      </c>
      <c r="R50" s="23"/>
      <c r="T50" s="79"/>
    </row>
    <row r="51" spans="1:20" s="2" customFormat="true">
      <c r="A51" s="16"/>
      <c r="B51" s="16"/>
      <c r="C51" s="22"/>
      <c r="D51" s="22"/>
      <c r="E51" s="20"/>
      <c r="F51" s="20"/>
      <c r="G51" s="20"/>
      <c r="H51" s="21"/>
      <c r="I51" s="87"/>
      <c r="J51" s="57" t="s">
        <v>28</v>
      </c>
      <c r="K51" s="23">
        <v>374</v>
      </c>
      <c r="L51" s="58">
        <f>I49*K51</f>
        <v>9123.73</v>
      </c>
      <c r="M51" s="57" t="s">
        <v>28</v>
      </c>
      <c r="N51" s="23">
        <v>1</v>
      </c>
      <c r="O51" s="23">
        <v>7</v>
      </c>
      <c r="P51" s="23">
        <f t="shared" si="4"/>
        <v>367</v>
      </c>
      <c r="Q51" s="23">
        <v>3</v>
      </c>
      <c r="R51" s="23"/>
      <c r="T51" s="79"/>
    </row>
    <row r="52" spans="1:20" s="2" customFormat="true">
      <c r="A52" s="16"/>
      <c r="B52" s="16"/>
      <c r="C52" s="22"/>
      <c r="D52" s="22"/>
      <c r="E52" s="20"/>
      <c r="F52" s="20"/>
      <c r="G52" s="20"/>
      <c r="H52" s="21"/>
      <c r="I52" s="87"/>
      <c r="J52" s="57" t="s">
        <v>29</v>
      </c>
      <c r="K52" s="23">
        <v>299</v>
      </c>
      <c r="L52" s="58">
        <f>I49*K52</f>
        <v>7294.105</v>
      </c>
      <c r="M52" s="57" t="s">
        <v>29</v>
      </c>
      <c r="N52" s="23">
        <v>0</v>
      </c>
      <c r="O52" s="23">
        <v>10</v>
      </c>
      <c r="P52" s="23">
        <f t="shared" si="4"/>
        <v>289</v>
      </c>
      <c r="Q52" s="23">
        <v>3</v>
      </c>
      <c r="R52" s="23"/>
      <c r="T52" s="79"/>
    </row>
    <row r="53" spans="1:20" s="2" customFormat="true">
      <c r="A53" s="16"/>
      <c r="B53" s="16"/>
      <c r="C53" s="22"/>
      <c r="D53" s="22"/>
      <c r="E53" s="20"/>
      <c r="F53" s="20"/>
      <c r="G53" s="20"/>
      <c r="H53" s="21"/>
      <c r="I53" s="87"/>
      <c r="J53" s="57" t="s">
        <v>30</v>
      </c>
      <c r="K53" s="23">
        <v>175</v>
      </c>
      <c r="L53" s="58">
        <f>I49*K53</f>
        <v>4269.125</v>
      </c>
      <c r="M53" s="57" t="s">
        <v>30</v>
      </c>
      <c r="N53" s="23">
        <v>0</v>
      </c>
      <c r="O53" s="23">
        <v>2</v>
      </c>
      <c r="P53" s="23">
        <f t="shared" si="4"/>
        <v>173</v>
      </c>
      <c r="Q53" s="23">
        <v>1</v>
      </c>
      <c r="R53" s="23"/>
      <c r="T53" s="79"/>
    </row>
    <row r="54" spans="1:20" s="2" customFormat="true">
      <c r="A54" s="16"/>
      <c r="B54" s="16"/>
      <c r="C54" s="22"/>
      <c r="D54" s="22"/>
      <c r="E54" s="20"/>
      <c r="F54" s="20"/>
      <c r="G54" s="20"/>
      <c r="H54" s="21"/>
      <c r="I54" s="88"/>
      <c r="J54" s="23" t="s">
        <v>31</v>
      </c>
      <c r="K54" s="23">
        <v>0</v>
      </c>
      <c r="L54" s="58">
        <f>I49*K54</f>
        <v>0</v>
      </c>
      <c r="M54" s="23" t="s">
        <v>31</v>
      </c>
      <c r="N54" s="23">
        <v>0</v>
      </c>
      <c r="O54" s="23">
        <f>K54-P54</f>
        <v>0</v>
      </c>
      <c r="P54" s="23">
        <v>0</v>
      </c>
      <c r="Q54" s="23"/>
      <c r="R54" s="23"/>
      <c r="T54" s="79"/>
    </row>
    <row r="55" spans="1:20" s="2" customFormat="true">
      <c r="A55" s="24"/>
      <c r="B55" s="24"/>
      <c r="C55" s="25"/>
      <c r="D55" s="25"/>
      <c r="E55" s="26"/>
      <c r="F55" s="26"/>
      <c r="G55" s="26"/>
      <c r="H55" s="27"/>
      <c r="I55" s="62"/>
      <c r="J55" s="61" t="s">
        <v>32</v>
      </c>
      <c r="K55" s="62">
        <f>SUM(K49:K54)</f>
        <v>1043</v>
      </c>
      <c r="L55" s="63">
        <f>SUM(L49:L54)</f>
        <v>25443.985</v>
      </c>
      <c r="M55" s="61" t="s">
        <v>32</v>
      </c>
      <c r="N55" s="62" cm="1">
        <f t="array" ref="N55">SUMPRODUCT(--(N49:N54))</f>
        <v>1</v>
      </c>
      <c r="O55" s="62" cm="1">
        <f t="array" ref="O55">SUMPRODUCT(--(O49:O54))</f>
        <v>22</v>
      </c>
      <c r="P55" s="64" cm="1">
        <f t="array" ref="P55">SUMPRODUCT(--(P49:P54))</f>
        <v>1021</v>
      </c>
      <c r="Q55" s="64">
        <f>SUM(Q49:Q54)</f>
        <v>9</v>
      </c>
      <c r="R55" s="64">
        <f>SUM(R49:R54)</f>
        <v>0</v>
      </c>
      <c r="T55" s="79"/>
    </row>
    <row r="56" spans="1:20" s="2" customFormat="true" ht="17.4" customHeight="true">
      <c r="A56" s="28"/>
      <c r="B56" s="29"/>
      <c r="C56" s="29"/>
      <c r="D56" s="29"/>
      <c r="E56" s="29"/>
      <c r="F56" s="29"/>
      <c r="G56" s="29"/>
      <c r="H56" s="29"/>
      <c r="I56" s="29"/>
      <c r="J56" s="29"/>
      <c r="K56" s="29"/>
      <c r="L56" s="29"/>
      <c r="M56" s="29"/>
      <c r="N56" s="29"/>
      <c r="O56" s="29"/>
      <c r="P56" s="29"/>
      <c r="Q56" s="29"/>
      <c r="R56" s="29"/>
      <c r="T56" s="79"/>
    </row>
    <row r="57" spans="1:20" s="1" customFormat="true" ht="10.95" customHeight="true">
      <c r="A57" s="7" t="s">
        <v>3</v>
      </c>
      <c r="B57" s="30" t="s">
        <v>4</v>
      </c>
      <c r="C57" s="7" t="s">
        <v>5</v>
      </c>
      <c r="D57" s="30" t="s">
        <v>6</v>
      </c>
      <c r="E57" s="30"/>
      <c r="F57" s="30"/>
      <c r="G57" s="30" t="s">
        <v>9</v>
      </c>
      <c r="H57" s="30"/>
      <c r="I57" s="7" t="s">
        <v>10</v>
      </c>
      <c r="J57" s="7" t="s">
        <v>11</v>
      </c>
      <c r="K57" s="8" t="s">
        <v>12</v>
      </c>
      <c r="L57" s="9"/>
      <c r="M57" s="7" t="s">
        <v>11</v>
      </c>
      <c r="N57" s="52" t="s">
        <v>13</v>
      </c>
      <c r="O57" s="52"/>
      <c r="P57" s="9"/>
      <c r="Q57" s="9" t="s">
        <v>14</v>
      </c>
      <c r="R57" s="9" t="s">
        <v>15</v>
      </c>
      <c r="T57" s="78"/>
    </row>
    <row r="58" spans="1:20" s="1" customFormat="true" ht="16.05" customHeight="true">
      <c r="A58" s="10"/>
      <c r="B58" s="30"/>
      <c r="C58" s="10"/>
      <c r="D58" s="30"/>
      <c r="E58" s="30"/>
      <c r="F58" s="30"/>
      <c r="G58" s="30"/>
      <c r="H58" s="30"/>
      <c r="I58" s="10"/>
      <c r="J58" s="10"/>
      <c r="K58" s="14"/>
      <c r="L58" s="15"/>
      <c r="M58" s="10"/>
      <c r="N58" s="53"/>
      <c r="O58" s="53"/>
      <c r="P58" s="15"/>
      <c r="Q58" s="15"/>
      <c r="R58" s="15"/>
      <c r="T58" s="78"/>
    </row>
    <row r="59" spans="1:20" s="1" customFormat="true" ht="17.4">
      <c r="A59" s="13"/>
      <c r="B59" s="30"/>
      <c r="C59" s="13"/>
      <c r="D59" s="30"/>
      <c r="E59" s="30"/>
      <c r="F59" s="30"/>
      <c r="G59" s="30"/>
      <c r="H59" s="30"/>
      <c r="I59" s="13"/>
      <c r="J59" s="13"/>
      <c r="K59" s="54" t="s">
        <v>16</v>
      </c>
      <c r="L59" s="55" t="s">
        <v>17</v>
      </c>
      <c r="M59" s="13"/>
      <c r="N59" s="55" t="s">
        <v>18</v>
      </c>
      <c r="O59" s="55" t="s">
        <v>19</v>
      </c>
      <c r="P59" s="55" t="s">
        <v>20</v>
      </c>
      <c r="Q59" s="55" t="s">
        <v>21</v>
      </c>
      <c r="R59" s="55" t="s">
        <v>22</v>
      </c>
      <c r="T59" s="78"/>
    </row>
    <row r="60" spans="1:20" s="2" customFormat="true" ht="13.95" customHeight="true">
      <c r="A60" s="16">
        <v>6</v>
      </c>
      <c r="B60" s="17" t="str">
        <f>=DISPIMG("ID_9B65656CFC9A4C2C8DFAF4F383FC5742",1)</f>
        <v>=DISPIMG("ID_9B65656CFC9A4C2C8DFAF4F383FC5742",1)</v>
      </c>
      <c r="C60" s="18" t="s">
        <v>117</v>
      </c>
      <c r="D60" s="18" t="s">
        <v>110</v>
      </c>
      <c r="E60" s="20"/>
      <c r="F60" s="20"/>
      <c r="G60" s="20" t="s">
        <v>73</v>
      </c>
      <c r="H60" s="21" t="str">
        <f>=DISPIMG("ID_021EFD81FA2B45EA8A36C67B0D594CDD",1)</f>
        <v>=DISPIMG("ID_021EFD81FA2B45EA8A36C67B0D594CDD",1)</v>
      </c>
      <c r="I60" s="86">
        <v>24.395</v>
      </c>
      <c r="J60" s="57" t="s">
        <v>26</v>
      </c>
      <c r="K60" s="23">
        <v>0</v>
      </c>
      <c r="L60" s="58">
        <f>I60*K60</f>
        <v>0</v>
      </c>
      <c r="M60" s="57" t="s">
        <v>26</v>
      </c>
      <c r="N60" s="23">
        <v>0</v>
      </c>
      <c r="O60" s="23">
        <v>0</v>
      </c>
      <c r="P60" s="23">
        <v>0</v>
      </c>
      <c r="Q60" s="23"/>
      <c r="R60" s="23"/>
      <c r="T60" s="79"/>
    </row>
    <row r="61" spans="1:20" s="2" customFormat="true">
      <c r="A61" s="16"/>
      <c r="B61" s="16"/>
      <c r="C61" s="22"/>
      <c r="D61" s="22"/>
      <c r="E61" s="20"/>
      <c r="F61" s="20"/>
      <c r="G61" s="20"/>
      <c r="H61" s="21"/>
      <c r="I61" s="87"/>
      <c r="J61" s="57" t="s">
        <v>27</v>
      </c>
      <c r="K61" s="23">
        <v>30</v>
      </c>
      <c r="L61" s="58">
        <f>I60*K61</f>
        <v>731.85</v>
      </c>
      <c r="M61" s="57" t="s">
        <v>27</v>
      </c>
      <c r="N61" s="23">
        <v>0</v>
      </c>
      <c r="O61" s="23">
        <v>3</v>
      </c>
      <c r="P61" s="23">
        <f t="shared" ref="P61:P64" si="5">MAX(0,K61-O61)</f>
        <v>27</v>
      </c>
      <c r="Q61" s="23">
        <v>1</v>
      </c>
      <c r="R61" s="23"/>
      <c r="T61" s="79"/>
    </row>
    <row r="62" spans="1:20" s="2" customFormat="true">
      <c r="A62" s="16"/>
      <c r="B62" s="16"/>
      <c r="C62" s="22"/>
      <c r="D62" s="22"/>
      <c r="E62" s="20"/>
      <c r="F62" s="20"/>
      <c r="G62" s="20"/>
      <c r="H62" s="21"/>
      <c r="I62" s="87"/>
      <c r="J62" s="57" t="s">
        <v>28</v>
      </c>
      <c r="K62" s="23">
        <v>30</v>
      </c>
      <c r="L62" s="58">
        <f>I60*K62</f>
        <v>731.85</v>
      </c>
      <c r="M62" s="57" t="s">
        <v>28</v>
      </c>
      <c r="N62" s="23">
        <v>0</v>
      </c>
      <c r="O62" s="23">
        <v>2</v>
      </c>
      <c r="P62" s="23">
        <f t="shared" si="5"/>
        <v>28</v>
      </c>
      <c r="Q62" s="23">
        <v>0</v>
      </c>
      <c r="R62" s="23"/>
      <c r="T62" s="79"/>
    </row>
    <row r="63" spans="1:20" s="2" customFormat="true">
      <c r="A63" s="16"/>
      <c r="B63" s="16"/>
      <c r="C63" s="22"/>
      <c r="D63" s="22"/>
      <c r="E63" s="20"/>
      <c r="F63" s="20"/>
      <c r="G63" s="20"/>
      <c r="H63" s="21"/>
      <c r="I63" s="87"/>
      <c r="J63" s="57" t="s">
        <v>29</v>
      </c>
      <c r="K63" s="23">
        <v>30</v>
      </c>
      <c r="L63" s="58">
        <f>I60*K63</f>
        <v>731.85</v>
      </c>
      <c r="M63" s="57" t="s">
        <v>29</v>
      </c>
      <c r="N63" s="23">
        <v>0</v>
      </c>
      <c r="O63" s="23">
        <v>1</v>
      </c>
      <c r="P63" s="23">
        <f t="shared" si="5"/>
        <v>29</v>
      </c>
      <c r="Q63" s="23">
        <v>0</v>
      </c>
      <c r="R63" s="23"/>
      <c r="T63" s="79"/>
    </row>
    <row r="64" spans="1:20" s="2" customFormat="true">
      <c r="A64" s="16"/>
      <c r="B64" s="16"/>
      <c r="C64" s="22"/>
      <c r="D64" s="22"/>
      <c r="E64" s="20"/>
      <c r="F64" s="20"/>
      <c r="G64" s="20"/>
      <c r="H64" s="21"/>
      <c r="I64" s="87"/>
      <c r="J64" s="57" t="s">
        <v>30</v>
      </c>
      <c r="K64" s="23">
        <v>30</v>
      </c>
      <c r="L64" s="58">
        <f>I60*K64</f>
        <v>731.85</v>
      </c>
      <c r="M64" s="57" t="s">
        <v>30</v>
      </c>
      <c r="N64" s="23">
        <v>0</v>
      </c>
      <c r="O64" s="23">
        <v>1</v>
      </c>
      <c r="P64" s="23">
        <f t="shared" si="5"/>
        <v>29</v>
      </c>
      <c r="Q64" s="23">
        <v>0</v>
      </c>
      <c r="R64" s="23"/>
      <c r="T64" s="79"/>
    </row>
    <row r="65" spans="1:20" s="2" customFormat="true">
      <c r="A65" s="16"/>
      <c r="B65" s="16"/>
      <c r="C65" s="22"/>
      <c r="D65" s="22"/>
      <c r="E65" s="20"/>
      <c r="F65" s="20"/>
      <c r="G65" s="20"/>
      <c r="H65" s="21"/>
      <c r="I65" s="88"/>
      <c r="J65" s="23" t="s">
        <v>31</v>
      </c>
      <c r="K65" s="23">
        <v>0</v>
      </c>
      <c r="L65" s="58">
        <f>I60*K65</f>
        <v>0</v>
      </c>
      <c r="M65" s="23" t="s">
        <v>31</v>
      </c>
      <c r="N65" s="23">
        <v>0</v>
      </c>
      <c r="O65" s="23">
        <v>0</v>
      </c>
      <c r="P65" s="23">
        <v>0</v>
      </c>
      <c r="Q65" s="23"/>
      <c r="R65" s="23"/>
      <c r="T65" s="79"/>
    </row>
    <row r="66" spans="1:20" s="2" customFormat="true">
      <c r="A66" s="24"/>
      <c r="B66" s="24"/>
      <c r="C66" s="25"/>
      <c r="D66" s="25"/>
      <c r="E66" s="26"/>
      <c r="F66" s="26"/>
      <c r="G66" s="26"/>
      <c r="H66" s="27"/>
      <c r="I66" s="62"/>
      <c r="J66" s="61" t="s">
        <v>32</v>
      </c>
      <c r="K66" s="62">
        <f>SUM(K60:K65)</f>
        <v>120</v>
      </c>
      <c r="L66" s="63">
        <f>SUM(L60:L65)</f>
        <v>2927.4</v>
      </c>
      <c r="M66" s="61" t="s">
        <v>32</v>
      </c>
      <c r="N66" s="62" cm="1">
        <f t="array" ref="N66">SUMPRODUCT(--(N60:N65))</f>
        <v>0</v>
      </c>
      <c r="O66" s="62" cm="1">
        <f t="array" ref="O66">SUMPRODUCT(--(O60:O65))</f>
        <v>7</v>
      </c>
      <c r="P66" s="64" cm="1">
        <f t="array" ref="P66">SUMPRODUCT(--(P60:P65))</f>
        <v>113</v>
      </c>
      <c r="Q66" s="64">
        <f>SUM(Q60:Q65)</f>
        <v>1</v>
      </c>
      <c r="R66" s="64">
        <f>SUM(R60:R65)</f>
        <v>0</v>
      </c>
      <c r="T66" s="79"/>
    </row>
    <row r="67" spans="1:18" s="3" customFormat="true">
      <c r="A67" s="4"/>
      <c r="B67" s="4"/>
      <c r="C67" s="31"/>
      <c r="D67" s="31"/>
      <c r="E67" s="31"/>
      <c r="F67" s="31"/>
      <c r="G67" s="31"/>
      <c r="H67" s="31"/>
      <c r="I67" s="65"/>
      <c r="J67" s="31"/>
      <c r="K67" s="65"/>
      <c r="L67" s="65"/>
      <c r="M67" s="31"/>
      <c r="N67" s="65"/>
      <c r="O67" s="65"/>
      <c r="P67" s="65"/>
      <c r="Q67" s="65"/>
      <c r="R67" s="65"/>
    </row>
    <row r="68" spans="1:20" s="1" customFormat="true" ht="10.95" customHeight="true">
      <c r="A68" s="7" t="s">
        <v>3</v>
      </c>
      <c r="B68" s="30" t="s">
        <v>4</v>
      </c>
      <c r="C68" s="7" t="s">
        <v>5</v>
      </c>
      <c r="D68" s="30" t="s">
        <v>6</v>
      </c>
      <c r="E68" s="30"/>
      <c r="F68" s="30"/>
      <c r="G68" s="30" t="s">
        <v>9</v>
      </c>
      <c r="H68" s="30"/>
      <c r="I68" s="7" t="s">
        <v>10</v>
      </c>
      <c r="J68" s="7" t="s">
        <v>11</v>
      </c>
      <c r="K68" s="8" t="s">
        <v>12</v>
      </c>
      <c r="L68" s="9"/>
      <c r="M68" s="7" t="s">
        <v>11</v>
      </c>
      <c r="N68" s="52" t="s">
        <v>13</v>
      </c>
      <c r="O68" s="52"/>
      <c r="P68" s="9"/>
      <c r="Q68" s="9" t="s">
        <v>14</v>
      </c>
      <c r="R68" s="9" t="s">
        <v>15</v>
      </c>
      <c r="T68" s="78"/>
    </row>
    <row r="69" spans="1:20" s="1" customFormat="true" ht="16.05" customHeight="true">
      <c r="A69" s="10"/>
      <c r="B69" s="30"/>
      <c r="C69" s="10"/>
      <c r="D69" s="30"/>
      <c r="E69" s="30"/>
      <c r="F69" s="30"/>
      <c r="G69" s="30"/>
      <c r="H69" s="30"/>
      <c r="I69" s="10"/>
      <c r="J69" s="10"/>
      <c r="K69" s="14"/>
      <c r="L69" s="15"/>
      <c r="M69" s="10"/>
      <c r="N69" s="53"/>
      <c r="O69" s="53"/>
      <c r="P69" s="15"/>
      <c r="Q69" s="15"/>
      <c r="R69" s="15"/>
      <c r="T69" s="78"/>
    </row>
    <row r="70" spans="1:20" s="1" customFormat="true" ht="17.4">
      <c r="A70" s="13"/>
      <c r="B70" s="30"/>
      <c r="C70" s="13"/>
      <c r="D70" s="30"/>
      <c r="E70" s="30"/>
      <c r="F70" s="30"/>
      <c r="G70" s="30"/>
      <c r="H70" s="30"/>
      <c r="I70" s="13"/>
      <c r="J70" s="13"/>
      <c r="K70" s="54" t="s">
        <v>16</v>
      </c>
      <c r="L70" s="55" t="s">
        <v>17</v>
      </c>
      <c r="M70" s="13"/>
      <c r="N70" s="55" t="s">
        <v>18</v>
      </c>
      <c r="O70" s="55" t="s">
        <v>19</v>
      </c>
      <c r="P70" s="55" t="s">
        <v>20</v>
      </c>
      <c r="Q70" s="55" t="s">
        <v>21</v>
      </c>
      <c r="R70" s="55" t="s">
        <v>22</v>
      </c>
      <c r="T70" s="78"/>
    </row>
    <row r="71" spans="1:20" s="2" customFormat="true" ht="13.95" customHeight="true">
      <c r="A71" s="16">
        <v>7</v>
      </c>
      <c r="B71" s="17" t="str">
        <f>=DISPIMG("ID_587EDC2337744AC0A8A448487CF3B4E4",1)</f>
        <v>=DISPIMG("ID_587EDC2337744AC0A8A448487CF3B4E4",1)</v>
      </c>
      <c r="C71" s="18" t="s">
        <v>118</v>
      </c>
      <c r="D71" s="18" t="s">
        <v>110</v>
      </c>
      <c r="E71" s="20"/>
      <c r="F71" s="20"/>
      <c r="G71" s="20" t="s">
        <v>119</v>
      </c>
      <c r="H71" s="21" t="str">
        <f>=DISPIMG("ID_5EE21F25C664481FBBF591910284FEE8",1)</f>
        <v>=DISPIMG("ID_5EE21F25C664481FBBF591910284FEE8",1)</v>
      </c>
      <c r="I71" s="86">
        <v>24.395</v>
      </c>
      <c r="J71" s="57" t="s">
        <v>26</v>
      </c>
      <c r="K71" s="23">
        <v>0</v>
      </c>
      <c r="L71" s="58">
        <f>I71*K71</f>
        <v>0</v>
      </c>
      <c r="M71" s="57" t="s">
        <v>26</v>
      </c>
      <c r="N71" s="23">
        <v>0</v>
      </c>
      <c r="O71" s="23">
        <v>0</v>
      </c>
      <c r="P71" s="23">
        <v>0</v>
      </c>
      <c r="Q71" s="23"/>
      <c r="R71" s="23"/>
      <c r="T71" s="79"/>
    </row>
    <row r="72" spans="1:20" s="2" customFormat="true">
      <c r="A72" s="16"/>
      <c r="B72" s="16"/>
      <c r="C72" s="22"/>
      <c r="D72" s="22"/>
      <c r="E72" s="20"/>
      <c r="F72" s="20"/>
      <c r="G72" s="20"/>
      <c r="H72" s="21"/>
      <c r="I72" s="87"/>
      <c r="J72" s="57" t="s">
        <v>27</v>
      </c>
      <c r="K72" s="23">
        <v>30</v>
      </c>
      <c r="L72" s="58">
        <f>I71*K72</f>
        <v>731.85</v>
      </c>
      <c r="M72" s="57" t="s">
        <v>27</v>
      </c>
      <c r="N72" s="23">
        <v>0</v>
      </c>
      <c r="O72" s="23">
        <v>1</v>
      </c>
      <c r="P72" s="23">
        <f t="shared" ref="P72:P75" si="6">MAX(0,K72-O72)</f>
        <v>29</v>
      </c>
      <c r="Q72" s="23">
        <v>0</v>
      </c>
      <c r="R72" s="23"/>
      <c r="T72" s="79"/>
    </row>
    <row r="73" spans="1:20" s="2" customFormat="true">
      <c r="A73" s="16"/>
      <c r="B73" s="16"/>
      <c r="C73" s="22"/>
      <c r="D73" s="22"/>
      <c r="E73" s="20"/>
      <c r="F73" s="20"/>
      <c r="G73" s="20"/>
      <c r="H73" s="21"/>
      <c r="I73" s="87"/>
      <c r="J73" s="57" t="s">
        <v>28</v>
      </c>
      <c r="K73" s="23">
        <v>300</v>
      </c>
      <c r="L73" s="58">
        <f>I71*K73</f>
        <v>7318.5</v>
      </c>
      <c r="M73" s="57" t="s">
        <v>28</v>
      </c>
      <c r="N73" s="23">
        <v>0</v>
      </c>
      <c r="O73" s="23">
        <v>0</v>
      </c>
      <c r="P73" s="23">
        <f t="shared" si="6"/>
        <v>300</v>
      </c>
      <c r="Q73" s="23">
        <v>0</v>
      </c>
      <c r="R73" s="23"/>
      <c r="T73" s="79"/>
    </row>
    <row r="74" spans="1:20" s="2" customFormat="true">
      <c r="A74" s="16"/>
      <c r="B74" s="16"/>
      <c r="C74" s="22"/>
      <c r="D74" s="22"/>
      <c r="E74" s="20"/>
      <c r="F74" s="20"/>
      <c r="G74" s="20"/>
      <c r="H74" s="21"/>
      <c r="I74" s="87"/>
      <c r="J74" s="57" t="s">
        <v>29</v>
      </c>
      <c r="K74" s="23">
        <v>30</v>
      </c>
      <c r="L74" s="58">
        <f>I71*K74</f>
        <v>731.85</v>
      </c>
      <c r="M74" s="57" t="s">
        <v>29</v>
      </c>
      <c r="N74" s="23">
        <v>0</v>
      </c>
      <c r="O74" s="23">
        <v>2</v>
      </c>
      <c r="P74" s="23">
        <f t="shared" si="6"/>
        <v>28</v>
      </c>
      <c r="Q74" s="23">
        <v>0</v>
      </c>
      <c r="R74" s="23"/>
      <c r="T74" s="79"/>
    </row>
    <row r="75" spans="1:20" s="2" customFormat="true">
      <c r="A75" s="16"/>
      <c r="B75" s="16"/>
      <c r="C75" s="22"/>
      <c r="D75" s="22"/>
      <c r="E75" s="20"/>
      <c r="F75" s="20"/>
      <c r="G75" s="20"/>
      <c r="H75" s="21"/>
      <c r="I75" s="87"/>
      <c r="J75" s="57" t="s">
        <v>30</v>
      </c>
      <c r="K75" s="23">
        <v>30</v>
      </c>
      <c r="L75" s="58">
        <f>I71*K75</f>
        <v>731.85</v>
      </c>
      <c r="M75" s="57" t="s">
        <v>30</v>
      </c>
      <c r="N75" s="23">
        <v>0</v>
      </c>
      <c r="O75" s="23">
        <v>0</v>
      </c>
      <c r="P75" s="23">
        <f t="shared" si="6"/>
        <v>30</v>
      </c>
      <c r="Q75" s="23">
        <v>0</v>
      </c>
      <c r="R75" s="23"/>
      <c r="T75" s="79"/>
    </row>
    <row r="76" spans="1:20" s="2" customFormat="true">
      <c r="A76" s="16"/>
      <c r="B76" s="16"/>
      <c r="C76" s="22"/>
      <c r="D76" s="22"/>
      <c r="E76" s="20"/>
      <c r="F76" s="20"/>
      <c r="G76" s="20"/>
      <c r="H76" s="21"/>
      <c r="I76" s="88"/>
      <c r="J76" s="23" t="s">
        <v>31</v>
      </c>
      <c r="K76" s="23">
        <v>0</v>
      </c>
      <c r="L76" s="58">
        <f>I71*K76</f>
        <v>0</v>
      </c>
      <c r="M76" s="23" t="s">
        <v>31</v>
      </c>
      <c r="N76" s="23">
        <v>0</v>
      </c>
      <c r="O76" s="23">
        <v>0</v>
      </c>
      <c r="P76" s="23">
        <v>0</v>
      </c>
      <c r="Q76" s="23"/>
      <c r="R76" s="23"/>
      <c r="T76" s="79"/>
    </row>
    <row r="77" spans="1:20" s="2" customFormat="true">
      <c r="A77" s="24"/>
      <c r="B77" s="24"/>
      <c r="C77" s="25"/>
      <c r="D77" s="25"/>
      <c r="E77" s="26"/>
      <c r="F77" s="26"/>
      <c r="G77" s="26"/>
      <c r="H77" s="27"/>
      <c r="I77" s="62"/>
      <c r="J77" s="61" t="s">
        <v>32</v>
      </c>
      <c r="K77" s="62">
        <f>SUM(K71:K76)</f>
        <v>390</v>
      </c>
      <c r="L77" s="63">
        <f>SUM(L71:L76)</f>
        <v>9514.05</v>
      </c>
      <c r="M77" s="61" t="s">
        <v>32</v>
      </c>
      <c r="N77" s="62" cm="1">
        <f t="array" ref="N77">SUMPRODUCT(--(N71:N76))</f>
        <v>0</v>
      </c>
      <c r="O77" s="62" cm="1">
        <f t="array" ref="O77">SUMPRODUCT(--(O71:O76))</f>
        <v>3</v>
      </c>
      <c r="P77" s="64" cm="1">
        <f t="array" ref="P77">SUMPRODUCT(--(P71:P76))</f>
        <v>387</v>
      </c>
      <c r="Q77" s="64">
        <f>SUM(Q71:Q76)</f>
        <v>0</v>
      </c>
      <c r="R77" s="64">
        <f>SUM(R71:R76)</f>
        <v>0</v>
      </c>
      <c r="T77" s="79"/>
    </row>
    <row r="78" spans="1:18" s="3" customFormat="true">
      <c r="A78" s="4"/>
      <c r="B78" s="4"/>
      <c r="C78" s="31"/>
      <c r="D78" s="31"/>
      <c r="E78" s="31"/>
      <c r="F78" s="31"/>
      <c r="G78" s="31"/>
      <c r="H78" s="31"/>
      <c r="I78" s="65"/>
      <c r="J78" s="31"/>
      <c r="K78" s="65"/>
      <c r="L78" s="65"/>
      <c r="M78" s="31"/>
      <c r="N78" s="65"/>
      <c r="O78" s="65"/>
      <c r="P78" s="65"/>
      <c r="Q78" s="29"/>
      <c r="R78" s="29"/>
    </row>
    <row r="79" spans="1:20" s="1" customFormat="true" ht="10.95" customHeight="true">
      <c r="A79" s="7" t="s">
        <v>3</v>
      </c>
      <c r="B79" s="30" t="s">
        <v>4</v>
      </c>
      <c r="C79" s="7" t="s">
        <v>5</v>
      </c>
      <c r="D79" s="30" t="s">
        <v>6</v>
      </c>
      <c r="E79" s="30"/>
      <c r="F79" s="30"/>
      <c r="G79" s="30" t="s">
        <v>9</v>
      </c>
      <c r="H79" s="30"/>
      <c r="I79" s="7" t="s">
        <v>10</v>
      </c>
      <c r="J79" s="7" t="s">
        <v>11</v>
      </c>
      <c r="K79" s="8" t="s">
        <v>12</v>
      </c>
      <c r="L79" s="9"/>
      <c r="M79" s="7" t="s">
        <v>11</v>
      </c>
      <c r="N79" s="52" t="s">
        <v>13</v>
      </c>
      <c r="O79" s="52"/>
      <c r="P79" s="9"/>
      <c r="Q79" s="9" t="s">
        <v>14</v>
      </c>
      <c r="R79" s="9" t="s">
        <v>15</v>
      </c>
      <c r="T79" s="78"/>
    </row>
    <row r="80" spans="1:20" s="1" customFormat="true" ht="16.05" customHeight="true">
      <c r="A80" s="10"/>
      <c r="B80" s="30"/>
      <c r="C80" s="10"/>
      <c r="D80" s="30"/>
      <c r="E80" s="30"/>
      <c r="F80" s="30"/>
      <c r="G80" s="30"/>
      <c r="H80" s="30"/>
      <c r="I80" s="10"/>
      <c r="J80" s="10"/>
      <c r="K80" s="14"/>
      <c r="L80" s="15"/>
      <c r="M80" s="10"/>
      <c r="N80" s="53"/>
      <c r="O80" s="53"/>
      <c r="P80" s="15"/>
      <c r="Q80" s="15"/>
      <c r="R80" s="15"/>
      <c r="T80" s="78"/>
    </row>
    <row r="81" spans="1:20" s="1" customFormat="true" ht="17.4">
      <c r="A81" s="13"/>
      <c r="B81" s="30"/>
      <c r="C81" s="13"/>
      <c r="D81" s="30"/>
      <c r="E81" s="30"/>
      <c r="F81" s="30"/>
      <c r="G81" s="30"/>
      <c r="H81" s="30"/>
      <c r="I81" s="13"/>
      <c r="J81" s="13"/>
      <c r="K81" s="54" t="s">
        <v>16</v>
      </c>
      <c r="L81" s="55" t="s">
        <v>17</v>
      </c>
      <c r="M81" s="13"/>
      <c r="N81" s="55" t="s">
        <v>18</v>
      </c>
      <c r="O81" s="55" t="s">
        <v>19</v>
      </c>
      <c r="P81" s="55" t="s">
        <v>20</v>
      </c>
      <c r="Q81" s="55" t="s">
        <v>21</v>
      </c>
      <c r="R81" s="55" t="s">
        <v>22</v>
      </c>
      <c r="T81" s="78"/>
    </row>
    <row r="82" spans="1:20" s="2" customFormat="true" ht="13.95" customHeight="true">
      <c r="A82" s="16">
        <v>8</v>
      </c>
      <c r="B82" s="17" t="str">
        <f>=DISPIMG("ID_2EC781BA172D4FF99FE9200EF88BB85C",1)</f>
        <v>=DISPIMG("ID_2EC781BA172D4FF99FE9200EF88BB85C",1)</v>
      </c>
      <c r="C82" s="18" t="s">
        <v>120</v>
      </c>
      <c r="D82" s="18" t="s">
        <v>110</v>
      </c>
      <c r="E82" s="20"/>
      <c r="F82" s="20"/>
      <c r="G82" s="20" t="s">
        <v>36</v>
      </c>
      <c r="H82" s="21" t="str">
        <f>=DISPIMG("ID_53D4A5CD90274101B4E613F00196172E",1)</f>
        <v>=DISPIMG("ID_53D4A5CD90274101B4E613F00196172E",1)</v>
      </c>
      <c r="I82" s="86">
        <v>24.395</v>
      </c>
      <c r="J82" s="57" t="s">
        <v>26</v>
      </c>
      <c r="K82" s="23">
        <v>0</v>
      </c>
      <c r="L82" s="58">
        <f>I82*K82</f>
        <v>0</v>
      </c>
      <c r="M82" s="57" t="s">
        <v>26</v>
      </c>
      <c r="N82" s="23">
        <v>0</v>
      </c>
      <c r="O82" s="23">
        <v>0</v>
      </c>
      <c r="P82" s="23">
        <v>0</v>
      </c>
      <c r="Q82" s="23"/>
      <c r="R82" s="23"/>
      <c r="T82" s="79"/>
    </row>
    <row r="83" spans="1:20" s="2" customFormat="true">
      <c r="A83" s="16"/>
      <c r="B83" s="16"/>
      <c r="C83" s="22"/>
      <c r="D83" s="22"/>
      <c r="E83" s="20"/>
      <c r="F83" s="20"/>
      <c r="G83" s="20"/>
      <c r="H83" s="21"/>
      <c r="I83" s="87"/>
      <c r="J83" s="57" t="s">
        <v>27</v>
      </c>
      <c r="K83" s="23">
        <v>274</v>
      </c>
      <c r="L83" s="58">
        <f>I82*K83</f>
        <v>6684.23</v>
      </c>
      <c r="M83" s="57" t="s">
        <v>27</v>
      </c>
      <c r="N83" s="23">
        <v>0</v>
      </c>
      <c r="O83" s="23">
        <v>4</v>
      </c>
      <c r="P83" s="23">
        <f t="shared" ref="P83:P86" si="7">MAX(0,K83-O83)</f>
        <v>270</v>
      </c>
      <c r="Q83" s="23">
        <v>1</v>
      </c>
      <c r="R83" s="23"/>
      <c r="T83" s="79"/>
    </row>
    <row r="84" spans="1:20" s="2" customFormat="true">
      <c r="A84" s="16"/>
      <c r="B84" s="16"/>
      <c r="C84" s="22"/>
      <c r="D84" s="22"/>
      <c r="E84" s="20"/>
      <c r="F84" s="20"/>
      <c r="G84" s="20"/>
      <c r="H84" s="21"/>
      <c r="I84" s="87"/>
      <c r="J84" s="57" t="s">
        <v>28</v>
      </c>
      <c r="K84" s="23">
        <v>395</v>
      </c>
      <c r="L84" s="58">
        <f>I82*K84</f>
        <v>9636.025</v>
      </c>
      <c r="M84" s="57" t="s">
        <v>28</v>
      </c>
      <c r="N84" s="23">
        <v>0</v>
      </c>
      <c r="O84" s="23">
        <v>1</v>
      </c>
      <c r="P84" s="23">
        <f t="shared" si="7"/>
        <v>394</v>
      </c>
      <c r="Q84" s="23">
        <v>0</v>
      </c>
      <c r="R84" s="23"/>
      <c r="T84" s="79"/>
    </row>
    <row r="85" spans="1:20" s="2" customFormat="true">
      <c r="A85" s="16"/>
      <c r="B85" s="16"/>
      <c r="C85" s="22"/>
      <c r="D85" s="22"/>
      <c r="E85" s="20"/>
      <c r="F85" s="20"/>
      <c r="G85" s="20"/>
      <c r="H85" s="21"/>
      <c r="I85" s="87"/>
      <c r="J85" s="57" t="s">
        <v>29</v>
      </c>
      <c r="K85" s="23">
        <v>413</v>
      </c>
      <c r="L85" s="58">
        <f>I82*K85</f>
        <v>10075.135</v>
      </c>
      <c r="M85" s="57" t="s">
        <v>29</v>
      </c>
      <c r="N85" s="23">
        <v>0</v>
      </c>
      <c r="O85" s="23">
        <v>2</v>
      </c>
      <c r="P85" s="23">
        <f t="shared" si="7"/>
        <v>411</v>
      </c>
      <c r="Q85" s="23">
        <v>0</v>
      </c>
      <c r="R85" s="23"/>
      <c r="T85" s="79"/>
    </row>
    <row r="86" spans="1:20" s="2" customFormat="true">
      <c r="A86" s="16"/>
      <c r="B86" s="16"/>
      <c r="C86" s="22"/>
      <c r="D86" s="22"/>
      <c r="E86" s="20"/>
      <c r="F86" s="20"/>
      <c r="G86" s="20"/>
      <c r="H86" s="21"/>
      <c r="I86" s="87"/>
      <c r="J86" s="57" t="s">
        <v>30</v>
      </c>
      <c r="K86" s="23">
        <v>220</v>
      </c>
      <c r="L86" s="58">
        <f>I82*K86</f>
        <v>5366.9</v>
      </c>
      <c r="M86" s="57" t="s">
        <v>30</v>
      </c>
      <c r="N86" s="23">
        <v>0</v>
      </c>
      <c r="O86" s="23">
        <v>0</v>
      </c>
      <c r="P86" s="23">
        <f t="shared" si="7"/>
        <v>220</v>
      </c>
      <c r="Q86" s="23">
        <v>0</v>
      </c>
      <c r="R86" s="23"/>
      <c r="T86" s="79"/>
    </row>
    <row r="87" spans="1:20" s="2" customFormat="true">
      <c r="A87" s="16"/>
      <c r="B87" s="16"/>
      <c r="C87" s="22"/>
      <c r="D87" s="22"/>
      <c r="E87" s="20"/>
      <c r="F87" s="20"/>
      <c r="G87" s="20"/>
      <c r="H87" s="21"/>
      <c r="I87" s="88"/>
      <c r="J87" s="23" t="s">
        <v>31</v>
      </c>
      <c r="K87" s="23">
        <v>0</v>
      </c>
      <c r="L87" s="58">
        <f>I82*K87</f>
        <v>0</v>
      </c>
      <c r="M87" s="23" t="s">
        <v>31</v>
      </c>
      <c r="N87" s="23">
        <v>0</v>
      </c>
      <c r="O87" s="23">
        <v>0</v>
      </c>
      <c r="P87" s="23">
        <v>0</v>
      </c>
      <c r="Q87" s="23"/>
      <c r="R87" s="23"/>
      <c r="T87" s="79"/>
    </row>
    <row r="88" spans="1:20" s="2" customFormat="true">
      <c r="A88" s="24"/>
      <c r="B88" s="24"/>
      <c r="C88" s="25"/>
      <c r="D88" s="25"/>
      <c r="E88" s="26"/>
      <c r="F88" s="26"/>
      <c r="G88" s="26"/>
      <c r="H88" s="27"/>
      <c r="I88" s="62"/>
      <c r="J88" s="61" t="s">
        <v>32</v>
      </c>
      <c r="K88" s="62">
        <f>SUM(K82:K87)</f>
        <v>1302</v>
      </c>
      <c r="L88" s="63">
        <f>SUM(L82:L87)</f>
        <v>31762.29</v>
      </c>
      <c r="M88" s="61" t="s">
        <v>32</v>
      </c>
      <c r="N88" s="62" cm="1">
        <f t="array" ref="N88">SUMPRODUCT(--(N82:N87))</f>
        <v>0</v>
      </c>
      <c r="O88" s="62" cm="1">
        <f t="array" ref="O88">SUMPRODUCT(--(O82:O87))</f>
        <v>7</v>
      </c>
      <c r="P88" s="64" cm="1">
        <f t="array" ref="P88">SUMPRODUCT(--(P82:P87))</f>
        <v>1295</v>
      </c>
      <c r="Q88" s="64">
        <f>SUM(Q82:Q87)</f>
        <v>1</v>
      </c>
      <c r="R88" s="64">
        <f>SUM(R82:R87)</f>
        <v>0</v>
      </c>
      <c r="T88" s="79"/>
    </row>
    <row r="89" spans="1:16" s="3" customFormat="true">
      <c r="A89" s="4"/>
      <c r="B89" s="4"/>
      <c r="C89" s="31"/>
      <c r="D89" s="31"/>
      <c r="E89" s="31"/>
      <c r="F89" s="31"/>
      <c r="G89" s="31"/>
      <c r="H89" s="31"/>
      <c r="I89" s="65"/>
      <c r="J89" s="31"/>
      <c r="K89" s="65"/>
      <c r="L89" s="65"/>
      <c r="M89" s="31"/>
      <c r="N89" s="65"/>
      <c r="O89" s="65"/>
      <c r="P89" s="65"/>
    </row>
    <row r="90" spans="1:20" s="1" customFormat="true" ht="10.95" customHeight="true">
      <c r="A90" s="7" t="s">
        <v>3</v>
      </c>
      <c r="B90" s="30" t="s">
        <v>4</v>
      </c>
      <c r="C90" s="7" t="s">
        <v>5</v>
      </c>
      <c r="D90" s="30" t="s">
        <v>6</v>
      </c>
      <c r="E90" s="30"/>
      <c r="F90" s="30"/>
      <c r="G90" s="30" t="s">
        <v>9</v>
      </c>
      <c r="H90" s="30"/>
      <c r="I90" s="7" t="s">
        <v>10</v>
      </c>
      <c r="J90" s="7" t="s">
        <v>11</v>
      </c>
      <c r="K90" s="8" t="s">
        <v>12</v>
      </c>
      <c r="L90" s="9"/>
      <c r="M90" s="7" t="s">
        <v>11</v>
      </c>
      <c r="N90" s="52" t="s">
        <v>13</v>
      </c>
      <c r="O90" s="52"/>
      <c r="P90" s="9"/>
      <c r="Q90" s="9" t="s">
        <v>14</v>
      </c>
      <c r="R90" s="9" t="s">
        <v>15</v>
      </c>
      <c r="T90" s="78"/>
    </row>
    <row r="91" spans="1:20" s="1" customFormat="true" ht="16.05" customHeight="true">
      <c r="A91" s="10"/>
      <c r="B91" s="30"/>
      <c r="C91" s="10"/>
      <c r="D91" s="30"/>
      <c r="E91" s="30"/>
      <c r="F91" s="30"/>
      <c r="G91" s="30"/>
      <c r="H91" s="30"/>
      <c r="I91" s="10"/>
      <c r="J91" s="10"/>
      <c r="K91" s="14"/>
      <c r="L91" s="15"/>
      <c r="M91" s="10"/>
      <c r="N91" s="53"/>
      <c r="O91" s="53"/>
      <c r="P91" s="15"/>
      <c r="Q91" s="15"/>
      <c r="R91" s="15"/>
      <c r="T91" s="78"/>
    </row>
    <row r="92" spans="1:20" s="1" customFormat="true" ht="17.4">
      <c r="A92" s="13"/>
      <c r="B92" s="30"/>
      <c r="C92" s="13"/>
      <c r="D92" s="30"/>
      <c r="E92" s="30"/>
      <c r="F92" s="30"/>
      <c r="G92" s="30"/>
      <c r="H92" s="30"/>
      <c r="I92" s="13"/>
      <c r="J92" s="13"/>
      <c r="K92" s="54" t="s">
        <v>16</v>
      </c>
      <c r="L92" s="55" t="s">
        <v>17</v>
      </c>
      <c r="M92" s="13"/>
      <c r="N92" s="55" t="s">
        <v>18</v>
      </c>
      <c r="O92" s="55" t="s">
        <v>19</v>
      </c>
      <c r="P92" s="55" t="s">
        <v>20</v>
      </c>
      <c r="Q92" s="55" t="s">
        <v>21</v>
      </c>
      <c r="R92" s="55" t="s">
        <v>22</v>
      </c>
      <c r="T92" s="78"/>
    </row>
    <row r="93" spans="1:20" s="2" customFormat="true" ht="13.95" customHeight="true">
      <c r="A93" s="16">
        <v>9</v>
      </c>
      <c r="B93" s="17" t="str">
        <f>=DISPIMG("ID_3AB5977A81664F71BD4CE751CF42F6F1",1)</f>
        <v>=DISPIMG("ID_3AB5977A81664F71BD4CE751CF42F6F1",1)</v>
      </c>
      <c r="C93" s="18" t="s">
        <v>121</v>
      </c>
      <c r="D93" s="18" t="s">
        <v>110</v>
      </c>
      <c r="E93" s="20"/>
      <c r="F93" s="20"/>
      <c r="G93" s="20" t="s">
        <v>122</v>
      </c>
      <c r="H93" s="21" t="str">
        <f>=DISPIMG("ID_3EE87D35447F44378D3A913D98FD243B",1)</f>
        <v>=DISPIMG("ID_3EE87D35447F44378D3A913D98FD243B",1)</v>
      </c>
      <c r="I93" s="86">
        <v>24.395</v>
      </c>
      <c r="J93" s="57" t="s">
        <v>26</v>
      </c>
      <c r="K93" s="23">
        <v>0</v>
      </c>
      <c r="L93" s="58">
        <f>I93*K93</f>
        <v>0</v>
      </c>
      <c r="M93" s="57" t="s">
        <v>26</v>
      </c>
      <c r="N93" s="23">
        <v>0</v>
      </c>
      <c r="O93" s="23">
        <v>0</v>
      </c>
      <c r="P93" s="23">
        <v>0</v>
      </c>
      <c r="Q93" s="23"/>
      <c r="R93" s="23"/>
      <c r="T93" s="79"/>
    </row>
    <row r="94" spans="1:20" s="2" customFormat="true">
      <c r="A94" s="16"/>
      <c r="B94" s="16"/>
      <c r="C94" s="22"/>
      <c r="D94" s="22"/>
      <c r="E94" s="20"/>
      <c r="F94" s="20"/>
      <c r="G94" s="20"/>
      <c r="H94" s="21"/>
      <c r="I94" s="87"/>
      <c r="J94" s="57" t="s">
        <v>27</v>
      </c>
      <c r="K94" s="23">
        <v>169</v>
      </c>
      <c r="L94" s="58">
        <f>I93*K94</f>
        <v>4122.755</v>
      </c>
      <c r="M94" s="57" t="s">
        <v>27</v>
      </c>
      <c r="N94" s="23">
        <v>0</v>
      </c>
      <c r="O94" s="23">
        <v>6</v>
      </c>
      <c r="P94" s="23">
        <f t="shared" ref="P94:P97" si="8">MAX(0,K94-O94)</f>
        <v>163</v>
      </c>
      <c r="Q94" s="23">
        <v>0</v>
      </c>
      <c r="R94" s="23"/>
      <c r="T94" s="79"/>
    </row>
    <row r="95" spans="1:20" s="2" customFormat="true">
      <c r="A95" s="16"/>
      <c r="B95" s="16"/>
      <c r="C95" s="22"/>
      <c r="D95" s="22"/>
      <c r="E95" s="20"/>
      <c r="F95" s="20"/>
      <c r="G95" s="20"/>
      <c r="H95" s="21"/>
      <c r="I95" s="87"/>
      <c r="J95" s="57" t="s">
        <v>28</v>
      </c>
      <c r="K95" s="23">
        <v>30</v>
      </c>
      <c r="L95" s="58">
        <f>I93*K95</f>
        <v>731.85</v>
      </c>
      <c r="M95" s="57" t="s">
        <v>28</v>
      </c>
      <c r="N95" s="23">
        <v>0</v>
      </c>
      <c r="O95" s="23">
        <v>2</v>
      </c>
      <c r="P95" s="23">
        <f t="shared" si="8"/>
        <v>28</v>
      </c>
      <c r="Q95" s="23">
        <v>0</v>
      </c>
      <c r="R95" s="23"/>
      <c r="T95" s="79"/>
    </row>
    <row r="96" spans="1:20" s="2" customFormat="true">
      <c r="A96" s="16"/>
      <c r="B96" s="16"/>
      <c r="C96" s="22"/>
      <c r="D96" s="22"/>
      <c r="E96" s="20"/>
      <c r="F96" s="20"/>
      <c r="G96" s="20"/>
      <c r="H96" s="21"/>
      <c r="I96" s="87"/>
      <c r="J96" s="57" t="s">
        <v>29</v>
      </c>
      <c r="K96" s="23">
        <v>30</v>
      </c>
      <c r="L96" s="58">
        <f>I93*K96</f>
        <v>731.85</v>
      </c>
      <c r="M96" s="57" t="s">
        <v>29</v>
      </c>
      <c r="N96" s="23">
        <v>0</v>
      </c>
      <c r="O96" s="23">
        <v>0</v>
      </c>
      <c r="P96" s="23">
        <f t="shared" si="8"/>
        <v>30</v>
      </c>
      <c r="Q96" s="23">
        <v>0</v>
      </c>
      <c r="R96" s="23"/>
      <c r="T96" s="79"/>
    </row>
    <row r="97" spans="1:20" s="2" customFormat="true">
      <c r="A97" s="16"/>
      <c r="B97" s="16"/>
      <c r="C97" s="22"/>
      <c r="D97" s="22"/>
      <c r="E97" s="20"/>
      <c r="F97" s="20"/>
      <c r="G97" s="20"/>
      <c r="H97" s="21"/>
      <c r="I97" s="87"/>
      <c r="J97" s="57" t="s">
        <v>30</v>
      </c>
      <c r="K97" s="23">
        <v>30</v>
      </c>
      <c r="L97" s="58">
        <f>I93*K97</f>
        <v>731.85</v>
      </c>
      <c r="M97" s="57" t="s">
        <v>30</v>
      </c>
      <c r="N97" s="23">
        <v>0</v>
      </c>
      <c r="O97" s="23">
        <v>0</v>
      </c>
      <c r="P97" s="23">
        <f t="shared" si="8"/>
        <v>30</v>
      </c>
      <c r="Q97" s="23">
        <v>0</v>
      </c>
      <c r="R97" s="23"/>
      <c r="T97" s="79"/>
    </row>
    <row r="98" spans="1:20" s="2" customFormat="true">
      <c r="A98" s="16"/>
      <c r="B98" s="16"/>
      <c r="C98" s="22"/>
      <c r="D98" s="22"/>
      <c r="E98" s="20"/>
      <c r="F98" s="20"/>
      <c r="G98" s="20"/>
      <c r="H98" s="21"/>
      <c r="I98" s="88"/>
      <c r="J98" s="23" t="s">
        <v>31</v>
      </c>
      <c r="K98" s="23">
        <v>0</v>
      </c>
      <c r="L98" s="58">
        <f>I93*K98</f>
        <v>0</v>
      </c>
      <c r="M98" s="23" t="s">
        <v>31</v>
      </c>
      <c r="N98" s="23">
        <v>0</v>
      </c>
      <c r="O98" s="23">
        <v>0</v>
      </c>
      <c r="P98" s="23">
        <v>0</v>
      </c>
      <c r="Q98" s="23"/>
      <c r="R98" s="23"/>
      <c r="T98" s="79"/>
    </row>
    <row r="99" spans="1:20" s="2" customFormat="true">
      <c r="A99" s="24"/>
      <c r="B99" s="24"/>
      <c r="C99" s="25"/>
      <c r="D99" s="25"/>
      <c r="E99" s="26"/>
      <c r="F99" s="26"/>
      <c r="G99" s="26"/>
      <c r="H99" s="27"/>
      <c r="I99" s="62"/>
      <c r="J99" s="61" t="s">
        <v>32</v>
      </c>
      <c r="K99" s="62">
        <f>SUM(K93:K98)</f>
        <v>259</v>
      </c>
      <c r="L99" s="63">
        <f>SUM(L93:L98)</f>
        <v>6318.305</v>
      </c>
      <c r="M99" s="61" t="s">
        <v>32</v>
      </c>
      <c r="N99" s="62" cm="1">
        <f t="array" ref="N99">SUMPRODUCT(--(N93:N98))</f>
        <v>0</v>
      </c>
      <c r="O99" s="62" cm="1">
        <f t="array" ref="O99">SUMPRODUCT(--(O93:O98))</f>
        <v>8</v>
      </c>
      <c r="P99" s="64" cm="1">
        <f t="array" ref="P99">SUMPRODUCT(--(P93:P98))</f>
        <v>251</v>
      </c>
      <c r="Q99" s="64">
        <f>SUM(Q93:Q98)</f>
        <v>0</v>
      </c>
      <c r="R99" s="64">
        <f>SUM(R93:R98)</f>
        <v>0</v>
      </c>
      <c r="T99" s="79"/>
    </row>
    <row r="100" spans="1:18" s="3" customFormat="true">
      <c r="A100" s="4"/>
      <c r="B100" s="4"/>
      <c r="C100" s="31"/>
      <c r="D100" s="31"/>
      <c r="E100" s="31"/>
      <c r="F100" s="31"/>
      <c r="G100" s="31"/>
      <c r="H100" s="31"/>
      <c r="I100" s="65"/>
      <c r="J100" s="31"/>
      <c r="K100" s="65"/>
      <c r="L100" s="65"/>
      <c r="M100" s="31"/>
      <c r="N100" s="65"/>
      <c r="O100" s="65"/>
      <c r="P100" s="65"/>
      <c r="Q100" s="29"/>
      <c r="R100" s="29"/>
    </row>
    <row r="101" spans="1:20" s="1" customFormat="true" ht="10.95" customHeight="true">
      <c r="A101" s="7" t="s">
        <v>3</v>
      </c>
      <c r="B101" s="30" t="s">
        <v>4</v>
      </c>
      <c r="C101" s="7" t="s">
        <v>5</v>
      </c>
      <c r="D101" s="30" t="s">
        <v>6</v>
      </c>
      <c r="E101" s="30"/>
      <c r="F101" s="30"/>
      <c r="G101" s="30" t="s">
        <v>9</v>
      </c>
      <c r="H101" s="30"/>
      <c r="I101" s="7" t="s">
        <v>10</v>
      </c>
      <c r="J101" s="7" t="s">
        <v>11</v>
      </c>
      <c r="K101" s="8" t="s">
        <v>12</v>
      </c>
      <c r="L101" s="9"/>
      <c r="M101" s="7" t="s">
        <v>11</v>
      </c>
      <c r="N101" s="52" t="s">
        <v>13</v>
      </c>
      <c r="O101" s="52"/>
      <c r="P101" s="9"/>
      <c r="Q101" s="9" t="s">
        <v>14</v>
      </c>
      <c r="R101" s="9" t="s">
        <v>15</v>
      </c>
      <c r="T101" s="78"/>
    </row>
    <row r="102" spans="1:20" s="1" customFormat="true" ht="16.05" customHeight="true">
      <c r="A102" s="10"/>
      <c r="B102" s="30"/>
      <c r="C102" s="10"/>
      <c r="D102" s="30"/>
      <c r="E102" s="30"/>
      <c r="F102" s="30"/>
      <c r="G102" s="30"/>
      <c r="H102" s="30"/>
      <c r="I102" s="10"/>
      <c r="J102" s="10"/>
      <c r="K102" s="14"/>
      <c r="L102" s="15"/>
      <c r="M102" s="10"/>
      <c r="N102" s="53"/>
      <c r="O102" s="53"/>
      <c r="P102" s="15"/>
      <c r="Q102" s="15"/>
      <c r="R102" s="15"/>
      <c r="T102" s="78"/>
    </row>
    <row r="103" spans="1:20" s="1" customFormat="true" ht="17.4">
      <c r="A103" s="13"/>
      <c r="B103" s="30"/>
      <c r="C103" s="13"/>
      <c r="D103" s="30"/>
      <c r="E103" s="30"/>
      <c r="F103" s="30"/>
      <c r="G103" s="30"/>
      <c r="H103" s="30"/>
      <c r="I103" s="13"/>
      <c r="J103" s="13"/>
      <c r="K103" s="54" t="s">
        <v>16</v>
      </c>
      <c r="L103" s="55" t="s">
        <v>17</v>
      </c>
      <c r="M103" s="13"/>
      <c r="N103" s="55" t="s">
        <v>18</v>
      </c>
      <c r="O103" s="55" t="s">
        <v>19</v>
      </c>
      <c r="P103" s="55" t="s">
        <v>20</v>
      </c>
      <c r="Q103" s="55" t="s">
        <v>21</v>
      </c>
      <c r="R103" s="55" t="s">
        <v>22</v>
      </c>
      <c r="T103" s="78"/>
    </row>
    <row r="104" spans="1:20" s="2" customFormat="true" ht="13.95" customHeight="true">
      <c r="A104" s="16">
        <v>10</v>
      </c>
      <c r="B104" s="17" t="str">
        <f>=DISPIMG("ID_DC006D00E4A648A1A17031B8497EA0A4",1)</f>
        <v>=DISPIMG("ID_DC006D00E4A648A1A17031B8497EA0A4",1)</v>
      </c>
      <c r="C104" s="18" t="s">
        <v>123</v>
      </c>
      <c r="D104" s="18" t="s">
        <v>110</v>
      </c>
      <c r="E104" s="20"/>
      <c r="F104" s="20"/>
      <c r="G104" s="20" t="s">
        <v>77</v>
      </c>
      <c r="H104" s="21" t="str">
        <f>=DISPIMG("ID_4456F94E3F214517B727DEB70DEB9335",1)</f>
        <v>=DISPIMG("ID_4456F94E3F214517B727DEB70DEB9335",1)</v>
      </c>
      <c r="I104" s="86">
        <v>24.395</v>
      </c>
      <c r="J104" s="57" t="s">
        <v>26</v>
      </c>
      <c r="K104" s="23">
        <v>0</v>
      </c>
      <c r="L104" s="58">
        <f>I104*K104</f>
        <v>0</v>
      </c>
      <c r="M104" s="57" t="s">
        <v>26</v>
      </c>
      <c r="N104" s="23">
        <v>0</v>
      </c>
      <c r="O104" s="23">
        <v>0</v>
      </c>
      <c r="P104" s="23">
        <v>0</v>
      </c>
      <c r="Q104" s="23"/>
      <c r="R104" s="23"/>
      <c r="T104" s="79"/>
    </row>
    <row r="105" spans="1:20" s="2" customFormat="true">
      <c r="A105" s="16"/>
      <c r="B105" s="16"/>
      <c r="C105" s="22"/>
      <c r="D105" s="22"/>
      <c r="E105" s="20"/>
      <c r="F105" s="20"/>
      <c r="G105" s="20"/>
      <c r="H105" s="21"/>
      <c r="I105" s="87"/>
      <c r="J105" s="57" t="s">
        <v>27</v>
      </c>
      <c r="K105" s="23">
        <v>30</v>
      </c>
      <c r="L105" s="58">
        <f>I104*K105</f>
        <v>731.85</v>
      </c>
      <c r="M105" s="57" t="s">
        <v>27</v>
      </c>
      <c r="N105" s="23">
        <v>0</v>
      </c>
      <c r="O105" s="23">
        <v>3</v>
      </c>
      <c r="P105" s="23">
        <f t="shared" ref="P105:P108" si="9">MAX(0,K105-O105)</f>
        <v>27</v>
      </c>
      <c r="Q105" s="23">
        <v>0</v>
      </c>
      <c r="R105" s="23"/>
      <c r="T105" s="79"/>
    </row>
    <row r="106" spans="1:20" s="2" customFormat="true">
      <c r="A106" s="16"/>
      <c r="B106" s="16"/>
      <c r="C106" s="22"/>
      <c r="D106" s="22"/>
      <c r="E106" s="20"/>
      <c r="F106" s="20"/>
      <c r="G106" s="20"/>
      <c r="H106" s="21"/>
      <c r="I106" s="87"/>
      <c r="J106" s="57" t="s">
        <v>28</v>
      </c>
      <c r="K106" s="23">
        <v>30</v>
      </c>
      <c r="L106" s="58">
        <f>I104*K106</f>
        <v>731.85</v>
      </c>
      <c r="M106" s="57" t="s">
        <v>28</v>
      </c>
      <c r="N106" s="23">
        <v>0</v>
      </c>
      <c r="O106" s="23">
        <v>3</v>
      </c>
      <c r="P106" s="23">
        <f t="shared" si="9"/>
        <v>27</v>
      </c>
      <c r="Q106" s="23">
        <v>0</v>
      </c>
      <c r="R106" s="23"/>
      <c r="T106" s="79"/>
    </row>
    <row r="107" spans="1:20" s="2" customFormat="true">
      <c r="A107" s="16"/>
      <c r="B107" s="16"/>
      <c r="C107" s="22"/>
      <c r="D107" s="22"/>
      <c r="E107" s="20"/>
      <c r="F107" s="20"/>
      <c r="G107" s="20"/>
      <c r="H107" s="21"/>
      <c r="I107" s="87"/>
      <c r="J107" s="57" t="s">
        <v>29</v>
      </c>
      <c r="K107" s="23">
        <v>30</v>
      </c>
      <c r="L107" s="58">
        <f>I104*K107</f>
        <v>731.85</v>
      </c>
      <c r="M107" s="57" t="s">
        <v>29</v>
      </c>
      <c r="N107" s="23">
        <v>0</v>
      </c>
      <c r="O107" s="23">
        <v>1</v>
      </c>
      <c r="P107" s="23">
        <f t="shared" si="9"/>
        <v>29</v>
      </c>
      <c r="Q107" s="23">
        <v>0</v>
      </c>
      <c r="R107" s="23"/>
      <c r="T107" s="79"/>
    </row>
    <row r="108" spans="1:20" s="2" customFormat="true">
      <c r="A108" s="16"/>
      <c r="B108" s="16"/>
      <c r="C108" s="22"/>
      <c r="D108" s="22"/>
      <c r="E108" s="20"/>
      <c r="F108" s="20"/>
      <c r="G108" s="20"/>
      <c r="H108" s="21"/>
      <c r="I108" s="87"/>
      <c r="J108" s="57" t="s">
        <v>30</v>
      </c>
      <c r="K108" s="23">
        <v>30</v>
      </c>
      <c r="L108" s="58">
        <f>I104*K108</f>
        <v>731.85</v>
      </c>
      <c r="M108" s="57" t="s">
        <v>30</v>
      </c>
      <c r="N108" s="23">
        <v>0</v>
      </c>
      <c r="O108" s="23">
        <v>0</v>
      </c>
      <c r="P108" s="23">
        <f t="shared" si="9"/>
        <v>30</v>
      </c>
      <c r="Q108" s="23">
        <v>0</v>
      </c>
      <c r="R108" s="23"/>
      <c r="T108" s="79"/>
    </row>
    <row r="109" spans="1:20" s="2" customFormat="true">
      <c r="A109" s="16"/>
      <c r="B109" s="16"/>
      <c r="C109" s="22"/>
      <c r="D109" s="22"/>
      <c r="E109" s="20"/>
      <c r="F109" s="20"/>
      <c r="G109" s="20"/>
      <c r="H109" s="21"/>
      <c r="I109" s="88"/>
      <c r="J109" s="23" t="s">
        <v>31</v>
      </c>
      <c r="K109" s="23">
        <v>0</v>
      </c>
      <c r="L109" s="58">
        <f>I104*K109</f>
        <v>0</v>
      </c>
      <c r="M109" s="23" t="s">
        <v>31</v>
      </c>
      <c r="N109" s="23">
        <v>0</v>
      </c>
      <c r="O109" s="23">
        <v>0</v>
      </c>
      <c r="P109" s="23">
        <v>0</v>
      </c>
      <c r="Q109" s="23"/>
      <c r="R109" s="23"/>
      <c r="T109" s="79"/>
    </row>
    <row r="110" spans="1:20" s="2" customFormat="true">
      <c r="A110" s="24"/>
      <c r="B110" s="24"/>
      <c r="C110" s="25"/>
      <c r="D110" s="25"/>
      <c r="E110" s="26"/>
      <c r="F110" s="26"/>
      <c r="G110" s="26"/>
      <c r="H110" s="27"/>
      <c r="I110" s="62"/>
      <c r="J110" s="61" t="s">
        <v>32</v>
      </c>
      <c r="K110" s="62">
        <f>SUM(K104:K109)</f>
        <v>120</v>
      </c>
      <c r="L110" s="63">
        <f>SUM(L104:L109)</f>
        <v>2927.4</v>
      </c>
      <c r="M110" s="61" t="s">
        <v>32</v>
      </c>
      <c r="N110" s="62" cm="1">
        <f t="array" ref="N110">SUMPRODUCT(--(N104:N109))</f>
        <v>0</v>
      </c>
      <c r="O110" s="62" cm="1">
        <f t="array" ref="O110">SUMPRODUCT(--(O104:O109))</f>
        <v>7</v>
      </c>
      <c r="P110" s="64" cm="1">
        <f t="array" ref="P110">SUMPRODUCT(--(P104:P109))</f>
        <v>113</v>
      </c>
      <c r="Q110" s="64">
        <f>SUM(Q104:Q109)</f>
        <v>0</v>
      </c>
      <c r="R110" s="64">
        <f>SUM(R104:R109)</f>
        <v>0</v>
      </c>
      <c r="T110" s="79"/>
    </row>
    <row r="111" spans="1:18" s="3" customFormat="true">
      <c r="A111" s="4"/>
      <c r="B111" s="4"/>
      <c r="C111" s="31"/>
      <c r="D111" s="31"/>
      <c r="E111" s="31"/>
      <c r="F111" s="31"/>
      <c r="G111" s="31"/>
      <c r="H111" s="31"/>
      <c r="I111" s="65"/>
      <c r="J111" s="31"/>
      <c r="K111" s="65"/>
      <c r="L111" s="65"/>
      <c r="M111" s="31"/>
      <c r="N111" s="65"/>
      <c r="O111" s="65"/>
      <c r="P111" s="65"/>
      <c r="Q111" s="65"/>
      <c r="R111" s="65"/>
    </row>
    <row r="112" spans="1:20" s="1" customFormat="true" ht="10.95" customHeight="true">
      <c r="A112" s="7" t="s">
        <v>3</v>
      </c>
      <c r="B112" s="30" t="s">
        <v>4</v>
      </c>
      <c r="C112" s="7" t="s">
        <v>5</v>
      </c>
      <c r="D112" s="30" t="s">
        <v>6</v>
      </c>
      <c r="E112" s="30"/>
      <c r="F112" s="30"/>
      <c r="G112" s="30" t="s">
        <v>9</v>
      </c>
      <c r="H112" s="30"/>
      <c r="I112" s="7" t="s">
        <v>10</v>
      </c>
      <c r="J112" s="7" t="s">
        <v>11</v>
      </c>
      <c r="K112" s="8" t="s">
        <v>12</v>
      </c>
      <c r="L112" s="9"/>
      <c r="M112" s="7" t="s">
        <v>11</v>
      </c>
      <c r="N112" s="52" t="s">
        <v>13</v>
      </c>
      <c r="O112" s="52"/>
      <c r="P112" s="9"/>
      <c r="Q112" s="9" t="s">
        <v>14</v>
      </c>
      <c r="R112" s="9" t="s">
        <v>15</v>
      </c>
      <c r="T112" s="78"/>
    </row>
    <row r="113" spans="1:20" s="1" customFormat="true" ht="16.05" customHeight="true">
      <c r="A113" s="10"/>
      <c r="B113" s="30"/>
      <c r="C113" s="10"/>
      <c r="D113" s="30"/>
      <c r="E113" s="30"/>
      <c r="F113" s="30"/>
      <c r="G113" s="30"/>
      <c r="H113" s="30"/>
      <c r="I113" s="10"/>
      <c r="J113" s="10"/>
      <c r="K113" s="14"/>
      <c r="L113" s="15"/>
      <c r="M113" s="10"/>
      <c r="N113" s="53"/>
      <c r="O113" s="53"/>
      <c r="P113" s="15"/>
      <c r="Q113" s="15"/>
      <c r="R113" s="15"/>
      <c r="T113" s="78"/>
    </row>
    <row r="114" spans="1:20" s="1" customFormat="true" ht="17.4">
      <c r="A114" s="13"/>
      <c r="B114" s="30"/>
      <c r="C114" s="13"/>
      <c r="D114" s="30"/>
      <c r="E114" s="30"/>
      <c r="F114" s="30"/>
      <c r="G114" s="30"/>
      <c r="H114" s="30"/>
      <c r="I114" s="13"/>
      <c r="J114" s="13"/>
      <c r="K114" s="54" t="s">
        <v>16</v>
      </c>
      <c r="L114" s="55" t="s">
        <v>17</v>
      </c>
      <c r="M114" s="13"/>
      <c r="N114" s="55" t="s">
        <v>18</v>
      </c>
      <c r="O114" s="55" t="s">
        <v>19</v>
      </c>
      <c r="P114" s="55" t="s">
        <v>20</v>
      </c>
      <c r="Q114" s="55" t="s">
        <v>21</v>
      </c>
      <c r="R114" s="55" t="s">
        <v>22</v>
      </c>
      <c r="T114" s="78"/>
    </row>
    <row r="115" spans="1:20" s="2" customFormat="true" ht="13.95" customHeight="true">
      <c r="A115" s="16">
        <v>11</v>
      </c>
      <c r="B115" s="17" t="str">
        <f>=DISPIMG("ID_2049C82676EC4500BBD53301A8B5140D",1)</f>
        <v>=DISPIMG("ID_2049C82676EC4500BBD53301A8B5140D",1)</v>
      </c>
      <c r="C115" s="18" t="s">
        <v>124</v>
      </c>
      <c r="D115" s="18" t="s">
        <v>110</v>
      </c>
      <c r="E115" s="20"/>
      <c r="F115" s="20"/>
      <c r="G115" s="20" t="s">
        <v>91</v>
      </c>
      <c r="H115" s="21" t="str">
        <f>=DISPIMG("ID_7B1842C061FD46499E1C1D8E68BE5EC6",1)</f>
        <v>=DISPIMG("ID_7B1842C061FD46499E1C1D8E68BE5EC6",1)</v>
      </c>
      <c r="I115" s="86">
        <v>24.395</v>
      </c>
      <c r="J115" s="57" t="s">
        <v>26</v>
      </c>
      <c r="K115" s="23">
        <v>0</v>
      </c>
      <c r="L115" s="58">
        <f>I115*K115</f>
        <v>0</v>
      </c>
      <c r="M115" s="57" t="s">
        <v>26</v>
      </c>
      <c r="N115" s="23">
        <v>0</v>
      </c>
      <c r="O115" s="23">
        <v>0</v>
      </c>
      <c r="P115" s="23">
        <v>0</v>
      </c>
      <c r="Q115" s="23"/>
      <c r="R115" s="23"/>
      <c r="T115" s="79"/>
    </row>
    <row r="116" spans="1:20" s="2" customFormat="true">
      <c r="A116" s="16"/>
      <c r="B116" s="16"/>
      <c r="C116" s="22"/>
      <c r="D116" s="22"/>
      <c r="E116" s="20"/>
      <c r="F116" s="20"/>
      <c r="G116" s="20"/>
      <c r="H116" s="21"/>
      <c r="I116" s="87"/>
      <c r="J116" s="57" t="s">
        <v>27</v>
      </c>
      <c r="K116" s="23">
        <v>30</v>
      </c>
      <c r="L116" s="58">
        <f>I115*K116</f>
        <v>731.85</v>
      </c>
      <c r="M116" s="57" t="s">
        <v>27</v>
      </c>
      <c r="N116" s="23">
        <v>0</v>
      </c>
      <c r="O116" s="23">
        <v>3</v>
      </c>
      <c r="P116" s="23">
        <f t="shared" ref="P116:P119" si="10">MAX(0,K116-O116)</f>
        <v>27</v>
      </c>
      <c r="Q116" s="23">
        <v>0</v>
      </c>
      <c r="R116" s="23"/>
      <c r="T116" s="79"/>
    </row>
    <row r="117" spans="1:20" s="2" customFormat="true">
      <c r="A117" s="16"/>
      <c r="B117" s="16"/>
      <c r="C117" s="22"/>
      <c r="D117" s="22"/>
      <c r="E117" s="20"/>
      <c r="F117" s="20"/>
      <c r="G117" s="20"/>
      <c r="H117" s="21"/>
      <c r="I117" s="87"/>
      <c r="J117" s="57" t="s">
        <v>28</v>
      </c>
      <c r="K117" s="23">
        <v>30</v>
      </c>
      <c r="L117" s="58">
        <f>I115*K117</f>
        <v>731.85</v>
      </c>
      <c r="M117" s="57" t="s">
        <v>28</v>
      </c>
      <c r="N117" s="23">
        <v>0</v>
      </c>
      <c r="O117" s="23">
        <v>2</v>
      </c>
      <c r="P117" s="23">
        <f t="shared" si="10"/>
        <v>28</v>
      </c>
      <c r="Q117" s="23">
        <v>0</v>
      </c>
      <c r="R117" s="23"/>
      <c r="T117" s="79"/>
    </row>
    <row r="118" spans="1:20" s="2" customFormat="true">
      <c r="A118" s="16"/>
      <c r="B118" s="16"/>
      <c r="C118" s="22"/>
      <c r="D118" s="22"/>
      <c r="E118" s="20"/>
      <c r="F118" s="20"/>
      <c r="G118" s="20"/>
      <c r="H118" s="21"/>
      <c r="I118" s="87"/>
      <c r="J118" s="57" t="s">
        <v>29</v>
      </c>
      <c r="K118" s="23">
        <v>30</v>
      </c>
      <c r="L118" s="58">
        <f>I115*K118</f>
        <v>731.85</v>
      </c>
      <c r="M118" s="57" t="s">
        <v>29</v>
      </c>
      <c r="N118" s="23">
        <v>0</v>
      </c>
      <c r="O118" s="23">
        <v>0</v>
      </c>
      <c r="P118" s="23">
        <f t="shared" si="10"/>
        <v>30</v>
      </c>
      <c r="Q118" s="23">
        <v>0</v>
      </c>
      <c r="R118" s="23"/>
      <c r="T118" s="79"/>
    </row>
    <row r="119" spans="1:20" s="2" customFormat="true">
      <c r="A119" s="16"/>
      <c r="B119" s="16"/>
      <c r="C119" s="22"/>
      <c r="D119" s="22"/>
      <c r="E119" s="20"/>
      <c r="F119" s="20"/>
      <c r="G119" s="20"/>
      <c r="H119" s="21"/>
      <c r="I119" s="87"/>
      <c r="J119" s="57" t="s">
        <v>30</v>
      </c>
      <c r="K119" s="23">
        <v>30</v>
      </c>
      <c r="L119" s="58">
        <f>I115*K119</f>
        <v>731.85</v>
      </c>
      <c r="M119" s="57" t="s">
        <v>30</v>
      </c>
      <c r="N119" s="23">
        <v>0</v>
      </c>
      <c r="O119" s="23">
        <v>0</v>
      </c>
      <c r="P119" s="23">
        <f t="shared" si="10"/>
        <v>30</v>
      </c>
      <c r="Q119" s="23">
        <v>0</v>
      </c>
      <c r="R119" s="23"/>
      <c r="T119" s="79"/>
    </row>
    <row r="120" spans="1:20" s="2" customFormat="true">
      <c r="A120" s="16"/>
      <c r="B120" s="16"/>
      <c r="C120" s="22"/>
      <c r="D120" s="22"/>
      <c r="E120" s="20"/>
      <c r="F120" s="20"/>
      <c r="G120" s="20"/>
      <c r="H120" s="21"/>
      <c r="I120" s="88"/>
      <c r="J120" s="23" t="s">
        <v>31</v>
      </c>
      <c r="K120" s="23">
        <v>0</v>
      </c>
      <c r="L120" s="58">
        <f>I115*K120</f>
        <v>0</v>
      </c>
      <c r="M120" s="23" t="s">
        <v>31</v>
      </c>
      <c r="N120" s="23">
        <v>0</v>
      </c>
      <c r="O120" s="23">
        <v>0</v>
      </c>
      <c r="P120" s="23">
        <v>0</v>
      </c>
      <c r="Q120" s="23"/>
      <c r="R120" s="23"/>
      <c r="T120" s="79"/>
    </row>
    <row r="121" spans="1:20" s="2" customFormat="true">
      <c r="A121" s="24"/>
      <c r="B121" s="24"/>
      <c r="C121" s="25"/>
      <c r="D121" s="25"/>
      <c r="E121" s="26"/>
      <c r="F121" s="26"/>
      <c r="G121" s="26"/>
      <c r="H121" s="27"/>
      <c r="I121" s="62"/>
      <c r="J121" s="61" t="s">
        <v>32</v>
      </c>
      <c r="K121" s="62">
        <f>SUM(K115:K120)</f>
        <v>120</v>
      </c>
      <c r="L121" s="63">
        <f>SUM(L115:L120)</f>
        <v>2927.4</v>
      </c>
      <c r="M121" s="61" t="s">
        <v>32</v>
      </c>
      <c r="N121" s="62" cm="1">
        <f t="array" ref="N121">SUMPRODUCT(--(N115:N120))</f>
        <v>0</v>
      </c>
      <c r="O121" s="62" cm="1">
        <f t="array" ref="O121">SUMPRODUCT(--(O115:O120))</f>
        <v>5</v>
      </c>
      <c r="P121" s="64" cm="1">
        <f t="array" ref="P121">SUMPRODUCT(--(P115:P120))</f>
        <v>115</v>
      </c>
      <c r="Q121" s="64">
        <f>SUM(Q115:Q120)</f>
        <v>0</v>
      </c>
      <c r="R121" s="64">
        <f>SUM(R115:R120)</f>
        <v>0</v>
      </c>
      <c r="T121" s="79"/>
    </row>
    <row r="122" spans="1:18" s="3" customFormat="true">
      <c r="A122" s="4"/>
      <c r="B122" s="4"/>
      <c r="C122" s="31"/>
      <c r="D122" s="31"/>
      <c r="E122" s="31"/>
      <c r="F122" s="31"/>
      <c r="G122" s="31"/>
      <c r="H122" s="31"/>
      <c r="I122" s="65"/>
      <c r="J122" s="31"/>
      <c r="K122" s="65"/>
      <c r="L122" s="65"/>
      <c r="M122" s="31"/>
      <c r="N122" s="65"/>
      <c r="O122" s="65"/>
      <c r="P122" s="65"/>
      <c r="Q122" s="29"/>
      <c r="R122" s="29"/>
    </row>
    <row r="123" spans="1:20" s="1" customFormat="true" ht="10.95" customHeight="true">
      <c r="A123" s="7" t="s">
        <v>3</v>
      </c>
      <c r="B123" s="30" t="s">
        <v>4</v>
      </c>
      <c r="C123" s="7" t="s">
        <v>5</v>
      </c>
      <c r="D123" s="30" t="s">
        <v>6</v>
      </c>
      <c r="E123" s="30"/>
      <c r="F123" s="30"/>
      <c r="G123" s="30" t="s">
        <v>9</v>
      </c>
      <c r="H123" s="30"/>
      <c r="I123" s="7" t="s">
        <v>10</v>
      </c>
      <c r="J123" s="7" t="s">
        <v>11</v>
      </c>
      <c r="K123" s="8" t="s">
        <v>12</v>
      </c>
      <c r="L123" s="9"/>
      <c r="M123" s="7" t="s">
        <v>11</v>
      </c>
      <c r="N123" s="52" t="s">
        <v>13</v>
      </c>
      <c r="O123" s="52"/>
      <c r="P123" s="9"/>
      <c r="Q123" s="9" t="s">
        <v>14</v>
      </c>
      <c r="R123" s="9" t="s">
        <v>15</v>
      </c>
      <c r="T123" s="78"/>
    </row>
    <row r="124" spans="1:20" s="1" customFormat="true" ht="16.05" customHeight="true">
      <c r="A124" s="10"/>
      <c r="B124" s="30"/>
      <c r="C124" s="10"/>
      <c r="D124" s="30"/>
      <c r="E124" s="30"/>
      <c r="F124" s="30"/>
      <c r="G124" s="30"/>
      <c r="H124" s="30"/>
      <c r="I124" s="10"/>
      <c r="J124" s="10"/>
      <c r="K124" s="14"/>
      <c r="L124" s="15"/>
      <c r="M124" s="10"/>
      <c r="N124" s="53"/>
      <c r="O124" s="53"/>
      <c r="P124" s="15"/>
      <c r="Q124" s="15"/>
      <c r="R124" s="15"/>
      <c r="T124" s="78"/>
    </row>
    <row r="125" spans="1:20" s="1" customFormat="true" ht="17.4">
      <c r="A125" s="13"/>
      <c r="B125" s="30"/>
      <c r="C125" s="13"/>
      <c r="D125" s="30"/>
      <c r="E125" s="30"/>
      <c r="F125" s="30"/>
      <c r="G125" s="30"/>
      <c r="H125" s="30"/>
      <c r="I125" s="13"/>
      <c r="J125" s="13"/>
      <c r="K125" s="54" t="s">
        <v>16</v>
      </c>
      <c r="L125" s="55" t="s">
        <v>17</v>
      </c>
      <c r="M125" s="13"/>
      <c r="N125" s="55" t="s">
        <v>18</v>
      </c>
      <c r="O125" s="55" t="s">
        <v>19</v>
      </c>
      <c r="P125" s="55" t="s">
        <v>20</v>
      </c>
      <c r="Q125" s="55" t="s">
        <v>21</v>
      </c>
      <c r="R125" s="55" t="s">
        <v>22</v>
      </c>
      <c r="T125" s="78"/>
    </row>
    <row r="126" spans="1:20" s="2" customFormat="true" ht="13.95" customHeight="true">
      <c r="A126" s="16">
        <v>12</v>
      </c>
      <c r="B126" s="17" t="str">
        <f>=DISPIMG("ID_91D50B9ABD75441392FD60C6F894CA45",1)</f>
        <v>=DISPIMG("ID_91D50B9ABD75441392FD60C6F894CA45",1)</v>
      </c>
      <c r="C126" s="18" t="s">
        <v>125</v>
      </c>
      <c r="D126" s="18" t="s">
        <v>110</v>
      </c>
      <c r="E126" s="20"/>
      <c r="F126" s="20"/>
      <c r="G126" s="20" t="s">
        <v>42</v>
      </c>
      <c r="H126" s="21" t="str">
        <f>=DISPIMG("ID_CD15398D548344A4964E5CE4CA25F90A",1)</f>
        <v>=DISPIMG("ID_CD15398D548344A4964E5CE4CA25F90A",1)</v>
      </c>
      <c r="I126" s="86">
        <v>24.395</v>
      </c>
      <c r="J126" s="57" t="s">
        <v>26</v>
      </c>
      <c r="K126" s="23">
        <v>0</v>
      </c>
      <c r="L126" s="58">
        <f>I126*K126</f>
        <v>0</v>
      </c>
      <c r="M126" s="57" t="s">
        <v>26</v>
      </c>
      <c r="N126" s="23">
        <v>0</v>
      </c>
      <c r="O126" s="23">
        <v>0</v>
      </c>
      <c r="P126" s="23">
        <v>0</v>
      </c>
      <c r="Q126" s="23"/>
      <c r="R126" s="23"/>
      <c r="T126" s="79"/>
    </row>
    <row r="127" spans="1:20" s="2" customFormat="true">
      <c r="A127" s="16"/>
      <c r="B127" s="16"/>
      <c r="C127" s="22"/>
      <c r="D127" s="22"/>
      <c r="E127" s="20"/>
      <c r="F127" s="20"/>
      <c r="G127" s="20"/>
      <c r="H127" s="21"/>
      <c r="I127" s="87"/>
      <c r="J127" s="57" t="s">
        <v>27</v>
      </c>
      <c r="K127" s="23">
        <v>497</v>
      </c>
      <c r="L127" s="58">
        <f>I126*K127</f>
        <v>12124.315</v>
      </c>
      <c r="M127" s="57" t="s">
        <v>27</v>
      </c>
      <c r="N127" s="23">
        <v>0</v>
      </c>
      <c r="O127" s="23">
        <v>11</v>
      </c>
      <c r="P127" s="23">
        <f t="shared" ref="P127:P130" si="11">MAX(0,K127-O127)</f>
        <v>486</v>
      </c>
      <c r="Q127" s="23">
        <v>3</v>
      </c>
      <c r="R127" s="23"/>
      <c r="T127" s="79"/>
    </row>
    <row r="128" spans="1:20" s="2" customFormat="true">
      <c r="A128" s="16"/>
      <c r="B128" s="16"/>
      <c r="C128" s="22"/>
      <c r="D128" s="22"/>
      <c r="E128" s="20"/>
      <c r="F128" s="20"/>
      <c r="G128" s="20"/>
      <c r="H128" s="21"/>
      <c r="I128" s="87"/>
      <c r="J128" s="57" t="s">
        <v>28</v>
      </c>
      <c r="K128" s="23">
        <v>679</v>
      </c>
      <c r="L128" s="58">
        <f>I126*K128</f>
        <v>16564.205</v>
      </c>
      <c r="M128" s="57" t="s">
        <v>28</v>
      </c>
      <c r="N128" s="23">
        <v>0</v>
      </c>
      <c r="O128" s="23">
        <v>13</v>
      </c>
      <c r="P128" s="23">
        <f t="shared" si="11"/>
        <v>666</v>
      </c>
      <c r="Q128" s="23">
        <v>1</v>
      </c>
      <c r="R128" s="23"/>
      <c r="T128" s="79"/>
    </row>
    <row r="129" spans="1:20" s="2" customFormat="true">
      <c r="A129" s="16"/>
      <c r="B129" s="16"/>
      <c r="C129" s="22"/>
      <c r="D129" s="22"/>
      <c r="E129" s="20"/>
      <c r="F129" s="20"/>
      <c r="G129" s="20"/>
      <c r="H129" s="21"/>
      <c r="I129" s="87"/>
      <c r="J129" s="57" t="s">
        <v>29</v>
      </c>
      <c r="K129" s="23">
        <v>632</v>
      </c>
      <c r="L129" s="58">
        <f>I126*K129</f>
        <v>15417.64</v>
      </c>
      <c r="M129" s="57" t="s">
        <v>29</v>
      </c>
      <c r="N129" s="23">
        <v>0</v>
      </c>
      <c r="O129" s="23">
        <v>10</v>
      </c>
      <c r="P129" s="23">
        <f t="shared" si="11"/>
        <v>622</v>
      </c>
      <c r="Q129" s="23">
        <v>2</v>
      </c>
      <c r="R129" s="23"/>
      <c r="T129" s="79"/>
    </row>
    <row r="130" spans="1:20" s="2" customFormat="true">
      <c r="A130" s="16"/>
      <c r="B130" s="16"/>
      <c r="C130" s="22"/>
      <c r="D130" s="22"/>
      <c r="E130" s="20"/>
      <c r="F130" s="20"/>
      <c r="G130" s="20"/>
      <c r="H130" s="21"/>
      <c r="I130" s="87"/>
      <c r="J130" s="57" t="s">
        <v>30</v>
      </c>
      <c r="K130" s="23">
        <v>498</v>
      </c>
      <c r="L130" s="58">
        <f>I126*K130</f>
        <v>12148.71</v>
      </c>
      <c r="M130" s="57" t="s">
        <v>30</v>
      </c>
      <c r="N130" s="23">
        <v>0</v>
      </c>
      <c r="O130" s="23">
        <v>4</v>
      </c>
      <c r="P130" s="23">
        <f t="shared" si="11"/>
        <v>494</v>
      </c>
      <c r="Q130" s="23">
        <v>0</v>
      </c>
      <c r="R130" s="23"/>
      <c r="T130" s="79"/>
    </row>
    <row r="131" spans="1:20" s="2" customFormat="true">
      <c r="A131" s="16"/>
      <c r="B131" s="16"/>
      <c r="C131" s="22"/>
      <c r="D131" s="22"/>
      <c r="E131" s="20"/>
      <c r="F131" s="20"/>
      <c r="G131" s="20"/>
      <c r="H131" s="21"/>
      <c r="I131" s="88"/>
      <c r="J131" s="23" t="s">
        <v>31</v>
      </c>
      <c r="K131" s="23">
        <v>0</v>
      </c>
      <c r="L131" s="58">
        <f>I126*K131</f>
        <v>0</v>
      </c>
      <c r="M131" s="23" t="s">
        <v>31</v>
      </c>
      <c r="N131" s="23">
        <v>0</v>
      </c>
      <c r="O131" s="23">
        <v>0</v>
      </c>
      <c r="P131" s="23">
        <v>0</v>
      </c>
      <c r="Q131" s="23"/>
      <c r="R131" s="23"/>
      <c r="T131" s="79"/>
    </row>
    <row r="132" spans="1:20" s="2" customFormat="true">
      <c r="A132" s="24"/>
      <c r="B132" s="24"/>
      <c r="C132" s="25"/>
      <c r="D132" s="25"/>
      <c r="E132" s="26"/>
      <c r="F132" s="26"/>
      <c r="G132" s="26"/>
      <c r="H132" s="27"/>
      <c r="I132" s="62"/>
      <c r="J132" s="61" t="s">
        <v>32</v>
      </c>
      <c r="K132" s="62">
        <f>SUM(K126:K131)</f>
        <v>2306</v>
      </c>
      <c r="L132" s="63">
        <f>SUM(L126:L131)</f>
        <v>56254.87</v>
      </c>
      <c r="M132" s="61" t="s">
        <v>32</v>
      </c>
      <c r="N132" s="62" cm="1">
        <f t="array" ref="N132">SUMPRODUCT(--(N126:N131))</f>
        <v>0</v>
      </c>
      <c r="O132" s="62" cm="1">
        <f t="array" ref="O132">SUMPRODUCT(--(O126:O131))</f>
        <v>38</v>
      </c>
      <c r="P132" s="64" cm="1">
        <f t="array" ref="P132">SUMPRODUCT(--(P126:P131))</f>
        <v>2268</v>
      </c>
      <c r="Q132" s="64">
        <f>SUM(Q126:Q131)</f>
        <v>6</v>
      </c>
      <c r="R132" s="64">
        <f>SUM(R126:R131)</f>
        <v>0</v>
      </c>
      <c r="T132" s="79"/>
    </row>
    <row r="133" spans="1:16" s="3" customFormat="true">
      <c r="A133" s="4"/>
      <c r="B133" s="4"/>
      <c r="C133" s="31"/>
      <c r="D133" s="31"/>
      <c r="E133" s="31"/>
      <c r="F133" s="31"/>
      <c r="G133" s="31"/>
      <c r="H133" s="31"/>
      <c r="I133" s="65"/>
      <c r="J133" s="31"/>
      <c r="K133" s="65"/>
      <c r="L133" s="65"/>
      <c r="M133" s="31"/>
      <c r="N133" s="65"/>
      <c r="O133" s="65"/>
      <c r="P133" s="65"/>
    </row>
    <row r="134"/>
    <row r="135" spans="1:14" ht="46" customHeight="true">
      <c r="A135" s="32" t="s">
        <v>45</v>
      </c>
      <c r="B135" s="33"/>
      <c r="C135" s="34" t="s">
        <v>5</v>
      </c>
      <c r="D135" s="35" t="s">
        <v>6</v>
      </c>
      <c r="E135" s="32"/>
      <c r="F135" s="32"/>
      <c r="G135" s="32" t="s">
        <v>9</v>
      </c>
      <c r="H135" s="33"/>
      <c r="I135" s="34" t="s">
        <v>46</v>
      </c>
      <c r="J135" s="34" t="s">
        <v>47</v>
      </c>
      <c r="K135" s="66" t="s">
        <v>48</v>
      </c>
      <c r="L135" s="67"/>
      <c r="M135" s="32" t="s">
        <v>49</v>
      </c>
      <c r="N135" s="33"/>
    </row>
    <row r="136" spans="1:14" ht="25.05" customHeight="true">
      <c r="A136" s="89" t="s">
        <v>126</v>
      </c>
      <c r="B136" s="37"/>
      <c r="C136" s="18" t="s">
        <v>127</v>
      </c>
      <c r="D136" s="18" t="s">
        <v>110</v>
      </c>
      <c r="E136" s="39"/>
      <c r="F136" s="39"/>
      <c r="G136" s="39"/>
      <c r="H136" s="40"/>
      <c r="I136" s="68" t="str">
        <f>SUM(K11,K22,K33,K44,K55,K66,K77,K88,K99,K110,K121,K132)&amp;"件"</f>
        <v>9853件</v>
      </c>
      <c r="J136" s="68" t="str">
        <f>SUM(O11,O22,O33,O44,O55,O66,O77,O88,O99,O110,O121,O132)&amp;"件"</f>
        <v>179件</v>
      </c>
      <c r="K136" s="69" t="str">
        <f>SUM(P11,P22,P33,P44,P55,P66,P77,P88,P99,P110,P121,P132)&amp;"件"</f>
        <v>9674件</v>
      </c>
      <c r="L136" s="70"/>
      <c r="M136" s="71"/>
      <c r="N136" s="70"/>
    </row>
    <row r="137" spans="1:14" ht="25.05" customHeight="true">
      <c r="A137" s="41"/>
      <c r="B137" s="42"/>
      <c r="C137" s="22"/>
      <c r="D137" s="22"/>
      <c r="E137" s="44"/>
      <c r="F137" s="44"/>
      <c r="G137" s="44"/>
      <c r="H137" s="45"/>
      <c r="I137" s="16"/>
      <c r="J137" s="16"/>
      <c r="K137" s="72"/>
      <c r="L137" s="73"/>
      <c r="M137" s="74"/>
      <c r="N137" s="73"/>
    </row>
    <row r="138" spans="1:14" ht="15.6">
      <c r="A138" s="41"/>
      <c r="B138" s="42"/>
      <c r="C138" s="22"/>
      <c r="D138" s="22"/>
      <c r="E138" s="44"/>
      <c r="F138" s="44"/>
      <c r="G138" s="44"/>
      <c r="H138" s="45"/>
      <c r="I138" s="16"/>
      <c r="J138" s="16"/>
      <c r="K138" s="72"/>
      <c r="L138" s="73"/>
      <c r="M138" s="74"/>
      <c r="N138" s="73"/>
    </row>
    <row r="139" spans="1:14" ht="15.6">
      <c r="A139" s="41"/>
      <c r="B139" s="42"/>
      <c r="C139" s="22"/>
      <c r="D139" s="22"/>
      <c r="E139" s="44"/>
      <c r="F139" s="44"/>
      <c r="G139" s="44"/>
      <c r="H139" s="45"/>
      <c r="I139" s="16"/>
      <c r="J139" s="16"/>
      <c r="K139" s="72"/>
      <c r="L139" s="73"/>
      <c r="M139" s="74"/>
      <c r="N139" s="73"/>
    </row>
    <row r="140" spans="1:14" ht="15.6">
      <c r="A140" s="41"/>
      <c r="B140" s="42"/>
      <c r="C140" s="22"/>
      <c r="D140" s="22"/>
      <c r="E140" s="44"/>
      <c r="F140" s="44"/>
      <c r="G140" s="44"/>
      <c r="H140" s="45"/>
      <c r="I140" s="16"/>
      <c r="J140" s="16"/>
      <c r="K140" s="72"/>
      <c r="L140" s="73"/>
      <c r="M140" s="74"/>
      <c r="N140" s="73"/>
    </row>
    <row r="141" spans="1:14" customHeight="true">
      <c r="A141" s="41"/>
      <c r="B141" s="42"/>
      <c r="C141" s="22"/>
      <c r="D141" s="22"/>
      <c r="E141" s="44"/>
      <c r="F141" s="44"/>
      <c r="G141" s="44"/>
      <c r="H141" s="45"/>
      <c r="I141" s="16"/>
      <c r="J141" s="16"/>
      <c r="K141" s="72"/>
      <c r="L141" s="73"/>
      <c r="M141" s="74"/>
      <c r="N141" s="73"/>
    </row>
    <row r="142" spans="1:14" ht="15.6">
      <c r="A142" s="46"/>
      <c r="B142" s="47"/>
      <c r="C142" s="25"/>
      <c r="D142" s="25"/>
      <c r="E142" s="49"/>
      <c r="F142" s="49"/>
      <c r="G142" s="49"/>
      <c r="H142" s="50"/>
      <c r="I142" s="24"/>
      <c r="J142" s="24"/>
      <c r="K142" s="75"/>
      <c r="L142" s="76"/>
      <c r="M142" s="77"/>
      <c r="N142" s="76"/>
    </row>
  </sheetData>
  <mergeCells count="248">
    <mergeCell ref="A1:L1"/>
    <mergeCell ref="M1:O1"/>
    <mergeCell ref="P1:R1"/>
    <mergeCell ref="A12:P12"/>
    <mergeCell ref="A23:P23"/>
    <mergeCell ref="A34:P34"/>
    <mergeCell ref="A45:P45"/>
    <mergeCell ref="A56:P56"/>
    <mergeCell ref="A135:B135"/>
    <mergeCell ref="G135:H135"/>
    <mergeCell ref="K135:L135"/>
    <mergeCell ref="M135:N135"/>
    <mergeCell ref="A2:A4"/>
    <mergeCell ref="A5:A11"/>
    <mergeCell ref="A13:A15"/>
    <mergeCell ref="A16:A22"/>
    <mergeCell ref="A24:A26"/>
    <mergeCell ref="A27:A33"/>
    <mergeCell ref="A35:A37"/>
    <mergeCell ref="A38:A44"/>
    <mergeCell ref="A46:A48"/>
    <mergeCell ref="A49:A55"/>
    <mergeCell ref="A57:A59"/>
    <mergeCell ref="A60:A66"/>
    <mergeCell ref="A68:A70"/>
    <mergeCell ref="A71:A77"/>
    <mergeCell ref="A79:A81"/>
    <mergeCell ref="A82:A88"/>
    <mergeCell ref="A90:A92"/>
    <mergeCell ref="A93:A99"/>
    <mergeCell ref="A101:A103"/>
    <mergeCell ref="A104:A110"/>
    <mergeCell ref="A112:A114"/>
    <mergeCell ref="A115:A121"/>
    <mergeCell ref="A123:A125"/>
    <mergeCell ref="A126:A132"/>
    <mergeCell ref="B2:B4"/>
    <mergeCell ref="B5:B11"/>
    <mergeCell ref="B13:B15"/>
    <mergeCell ref="B16:B22"/>
    <mergeCell ref="B24:B26"/>
    <mergeCell ref="B27:B33"/>
    <mergeCell ref="B35:B37"/>
    <mergeCell ref="B38:B44"/>
    <mergeCell ref="B46:B48"/>
    <mergeCell ref="B49:B55"/>
    <mergeCell ref="B57:B59"/>
    <mergeCell ref="B60:B66"/>
    <mergeCell ref="B68:B70"/>
    <mergeCell ref="B71:B77"/>
    <mergeCell ref="B79:B81"/>
    <mergeCell ref="B82:B88"/>
    <mergeCell ref="B90:B92"/>
    <mergeCell ref="B93:B99"/>
    <mergeCell ref="B101:B103"/>
    <mergeCell ref="B104:B110"/>
    <mergeCell ref="B112:B114"/>
    <mergeCell ref="B115:B121"/>
    <mergeCell ref="B123:B125"/>
    <mergeCell ref="B126:B132"/>
    <mergeCell ref="C2:C4"/>
    <mergeCell ref="C5:C11"/>
    <mergeCell ref="C13:C15"/>
    <mergeCell ref="C16:C22"/>
    <mergeCell ref="C24:C26"/>
    <mergeCell ref="C27:C33"/>
    <mergeCell ref="C35:C37"/>
    <mergeCell ref="C38:C44"/>
    <mergeCell ref="C46:C48"/>
    <mergeCell ref="C49:C55"/>
    <mergeCell ref="C57:C59"/>
    <mergeCell ref="C60:C66"/>
    <mergeCell ref="C68:C70"/>
    <mergeCell ref="C71:C77"/>
    <mergeCell ref="C79:C81"/>
    <mergeCell ref="C82:C88"/>
    <mergeCell ref="C90:C92"/>
    <mergeCell ref="C93:C99"/>
    <mergeCell ref="C101:C103"/>
    <mergeCell ref="C104:C110"/>
    <mergeCell ref="C112:C114"/>
    <mergeCell ref="C115:C121"/>
    <mergeCell ref="C123:C125"/>
    <mergeCell ref="C126:C132"/>
    <mergeCell ref="C136:C142"/>
    <mergeCell ref="D2:D4"/>
    <mergeCell ref="D5:D11"/>
    <mergeCell ref="D13:D15"/>
    <mergeCell ref="D16:D22"/>
    <mergeCell ref="D24:D26"/>
    <mergeCell ref="D27:D33"/>
    <mergeCell ref="D35:D37"/>
    <mergeCell ref="D38:D44"/>
    <mergeCell ref="D46:D48"/>
    <mergeCell ref="D49:D55"/>
    <mergeCell ref="D57:D59"/>
    <mergeCell ref="D60:D66"/>
    <mergeCell ref="D68:D70"/>
    <mergeCell ref="D71:D77"/>
    <mergeCell ref="D79:D81"/>
    <mergeCell ref="D82:D88"/>
    <mergeCell ref="D90:D92"/>
    <mergeCell ref="D93:D99"/>
    <mergeCell ref="D101:D103"/>
    <mergeCell ref="D104:D110"/>
    <mergeCell ref="D112:D114"/>
    <mergeCell ref="D115:D121"/>
    <mergeCell ref="D123:D125"/>
    <mergeCell ref="D126:D132"/>
    <mergeCell ref="D136:D142"/>
    <mergeCell ref="G5:G11"/>
    <mergeCell ref="G16:G22"/>
    <mergeCell ref="G27:G33"/>
    <mergeCell ref="G38:G44"/>
    <mergeCell ref="G49:G55"/>
    <mergeCell ref="G60:G66"/>
    <mergeCell ref="G71:G77"/>
    <mergeCell ref="G82:G88"/>
    <mergeCell ref="G93:G99"/>
    <mergeCell ref="G104:G110"/>
    <mergeCell ref="G115:G121"/>
    <mergeCell ref="G126:G132"/>
    <mergeCell ref="H5:H11"/>
    <mergeCell ref="H16:H22"/>
    <mergeCell ref="H27:H33"/>
    <mergeCell ref="H38:H44"/>
    <mergeCell ref="H49:H55"/>
    <mergeCell ref="H60:H66"/>
    <mergeCell ref="H71:H77"/>
    <mergeCell ref="H82:H88"/>
    <mergeCell ref="H93:H99"/>
    <mergeCell ref="H104:H110"/>
    <mergeCell ref="H115:H121"/>
    <mergeCell ref="H126:H132"/>
    <mergeCell ref="I2:I4"/>
    <mergeCell ref="I5:I10"/>
    <mergeCell ref="I13:I15"/>
    <mergeCell ref="I16:I21"/>
    <mergeCell ref="I24:I26"/>
    <mergeCell ref="I27:I32"/>
    <mergeCell ref="I35:I37"/>
    <mergeCell ref="I38:I43"/>
    <mergeCell ref="I46:I48"/>
    <mergeCell ref="I49:I54"/>
    <mergeCell ref="I57:I59"/>
    <mergeCell ref="I60:I65"/>
    <mergeCell ref="I68:I70"/>
    <mergeCell ref="I71:I76"/>
    <mergeCell ref="I79:I81"/>
    <mergeCell ref="I82:I87"/>
    <mergeCell ref="I90:I92"/>
    <mergeCell ref="I93:I98"/>
    <mergeCell ref="I101:I103"/>
    <mergeCell ref="I104:I109"/>
    <mergeCell ref="I112:I114"/>
    <mergeCell ref="I115:I120"/>
    <mergeCell ref="I123:I125"/>
    <mergeCell ref="I126:I131"/>
    <mergeCell ref="I136:I142"/>
    <mergeCell ref="J2:J4"/>
    <mergeCell ref="J13:J15"/>
    <mergeCell ref="J24:J26"/>
    <mergeCell ref="J35:J37"/>
    <mergeCell ref="J46:J48"/>
    <mergeCell ref="J57:J59"/>
    <mergeCell ref="J68:J70"/>
    <mergeCell ref="J79:J81"/>
    <mergeCell ref="J90:J92"/>
    <mergeCell ref="J101:J103"/>
    <mergeCell ref="J112:J114"/>
    <mergeCell ref="J123:J125"/>
    <mergeCell ref="J136:J142"/>
    <mergeCell ref="M2:M4"/>
    <mergeCell ref="M13:M15"/>
    <mergeCell ref="M24:M26"/>
    <mergeCell ref="M35:M37"/>
    <mergeCell ref="M46:M48"/>
    <mergeCell ref="M57:M59"/>
    <mergeCell ref="M68:M70"/>
    <mergeCell ref="M79:M81"/>
    <mergeCell ref="M90:M92"/>
    <mergeCell ref="M101:M103"/>
    <mergeCell ref="M112:M114"/>
    <mergeCell ref="M123:M125"/>
    <mergeCell ref="Q2:Q3"/>
    <mergeCell ref="Q13:Q14"/>
    <mergeCell ref="Q24:Q25"/>
    <mergeCell ref="Q35:Q36"/>
    <mergeCell ref="Q46:Q47"/>
    <mergeCell ref="Q57:Q58"/>
    <mergeCell ref="Q68:Q69"/>
    <mergeCell ref="Q79:Q80"/>
    <mergeCell ref="Q90:Q91"/>
    <mergeCell ref="Q101:Q102"/>
    <mergeCell ref="Q112:Q113"/>
    <mergeCell ref="Q123:Q124"/>
    <mergeCell ref="R2:R3"/>
    <mergeCell ref="R13:R14"/>
    <mergeCell ref="R24:R25"/>
    <mergeCell ref="R35:R36"/>
    <mergeCell ref="R46:R47"/>
    <mergeCell ref="R57:R58"/>
    <mergeCell ref="R68:R69"/>
    <mergeCell ref="R79:R80"/>
    <mergeCell ref="R90:R91"/>
    <mergeCell ref="R101:R102"/>
    <mergeCell ref="R112:R113"/>
    <mergeCell ref="R123:R124"/>
    <mergeCell ref="G2:H4"/>
    <mergeCell ref="K2:L3"/>
    <mergeCell ref="N2:P3"/>
    <mergeCell ref="G13:H15"/>
    <mergeCell ref="K13:L14"/>
    <mergeCell ref="N13:P14"/>
    <mergeCell ref="G24:H26"/>
    <mergeCell ref="K24:L25"/>
    <mergeCell ref="N24:P25"/>
    <mergeCell ref="G35:H37"/>
    <mergeCell ref="K35:L36"/>
    <mergeCell ref="N35:P36"/>
    <mergeCell ref="G46:H48"/>
    <mergeCell ref="K46:L47"/>
    <mergeCell ref="N46:P47"/>
    <mergeCell ref="G57:H59"/>
    <mergeCell ref="K57:L58"/>
    <mergeCell ref="N57:P58"/>
    <mergeCell ref="G68:H70"/>
    <mergeCell ref="K68:L69"/>
    <mergeCell ref="N68:P69"/>
    <mergeCell ref="G79:H81"/>
    <mergeCell ref="K79:L80"/>
    <mergeCell ref="N79:P80"/>
    <mergeCell ref="G90:H92"/>
    <mergeCell ref="K90:L91"/>
    <mergeCell ref="N90:P91"/>
    <mergeCell ref="G101:H103"/>
    <mergeCell ref="K101:L102"/>
    <mergeCell ref="N101:P102"/>
    <mergeCell ref="G112:H114"/>
    <mergeCell ref="K112:L113"/>
    <mergeCell ref="N112:P113"/>
    <mergeCell ref="G123:H125"/>
    <mergeCell ref="K123:L124"/>
    <mergeCell ref="N123:P124"/>
    <mergeCell ref="A136:B142"/>
    <mergeCell ref="G136:H142"/>
    <mergeCell ref="K136:L142"/>
    <mergeCell ref="M136:N142"/>
  </mergeCells>
  <pageMargins left="0.75" right="0.75" top="1" bottom="1" header="0.5" footer="0.5"/>
  <pageSetup orientation="portrait" paperSize="9"/>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U142"/>
  <sheetViews>
    <sheetView topLeftCell="A119" workbookViewId="0">
      <selection activeCell="I136" sqref="I136:I142"/>
    </sheetView>
  </sheetViews>
  <sheetFormatPr defaultColWidth="8.55555555555556" defaultRowHeight="14.4"/>
  <cols>
    <col customWidth="true" max="1" min="1" style="3" width="7"/>
    <col customWidth="true" max="2" min="2" style="3" width="8.77777777777778"/>
    <col customWidth="true" max="3" min="3" style="3" width="22.5833333333333"/>
    <col customWidth="true" max="4" min="4" style="3" width="9.88888888888889"/>
    <col customWidth="true" hidden="true" max="6" min="5" style="3" width="13.5740740740741"/>
    <col customWidth="true" max="7" min="7" style="3" width="13.5740740740741"/>
    <col customWidth="true" max="8" min="8" style="3" width="11.5555555555556"/>
    <col customWidth="true" max="9" min="9" style="3" width="13.9444444444444"/>
    <col customWidth="true" max="10" min="10" style="4" width="13.2037037037037"/>
    <col customWidth="true" max="11" min="11" style="3" width="12.5833333333333"/>
    <col customWidth="true" max="12" min="12" style="3" width="15.3055555555556"/>
    <col customWidth="true" max="13" min="13" style="4" width="12.5925925925926"/>
    <col customWidth="true" max="14" min="14" style="3" width="10.8611111111111"/>
    <col customWidth="true" max="15" min="15" style="3" width="11.3518518518519"/>
    <col customWidth="true" max="18" min="16" style="3" width="13.0833333333333"/>
    <col max="16384" min="19" style="3" width="8.55555555555556"/>
  </cols>
  <sheetData>
    <row r="1" spans="1:20" s="1" customFormat="true" ht="58.8" customHeight="true">
      <c r="A1" s="5" t="s">
        <v>128</v>
      </c>
      <c r="B1" s="6"/>
      <c r="C1" s="6"/>
      <c r="D1" s="6"/>
      <c r="E1" s="6"/>
      <c r="F1" s="6"/>
      <c r="G1" s="6"/>
      <c r="H1" s="6"/>
      <c r="I1" s="6"/>
      <c r="J1" s="6"/>
      <c r="K1" s="6"/>
      <c r="L1" s="6"/>
      <c r="M1" s="6" t="s">
        <v>129</v>
      </c>
      <c r="N1" s="6"/>
      <c r="O1" s="6"/>
      <c r="P1" s="51" t="s">
        <v>2</v>
      </c>
      <c r="Q1" s="6"/>
      <c r="R1" s="6"/>
      <c r="T1" s="78"/>
    </row>
    <row r="2" spans="1:20" s="1" customFormat="true" ht="10.95" customHeight="true">
      <c r="A2" s="7" t="s">
        <v>3</v>
      </c>
      <c r="B2" s="7" t="s">
        <v>4</v>
      </c>
      <c r="C2" s="7" t="s">
        <v>5</v>
      </c>
      <c r="D2" s="7" t="s">
        <v>6</v>
      </c>
      <c r="E2" s="8"/>
      <c r="F2" s="8"/>
      <c r="G2" s="8" t="s">
        <v>9</v>
      </c>
      <c r="H2" s="9"/>
      <c r="I2" s="7" t="s">
        <v>10</v>
      </c>
      <c r="J2" s="7" t="s">
        <v>11</v>
      </c>
      <c r="K2" s="52" t="s">
        <v>12</v>
      </c>
      <c r="L2" s="9"/>
      <c r="M2" s="7" t="s">
        <v>11</v>
      </c>
      <c r="N2" s="52" t="s">
        <v>13</v>
      </c>
      <c r="O2" s="52"/>
      <c r="P2" s="9"/>
      <c r="Q2" s="9" t="s">
        <v>14</v>
      </c>
      <c r="R2" s="9" t="s">
        <v>15</v>
      </c>
      <c r="T2" s="78"/>
    </row>
    <row r="3" spans="1:20" s="1" customFormat="true" ht="16.05" customHeight="true">
      <c r="A3" s="10"/>
      <c r="B3" s="10"/>
      <c r="C3" s="10"/>
      <c r="D3" s="10"/>
      <c r="E3" s="11"/>
      <c r="F3" s="11"/>
      <c r="G3" s="11"/>
      <c r="H3" s="12"/>
      <c r="I3" s="10"/>
      <c r="J3" s="10"/>
      <c r="K3" s="53"/>
      <c r="L3" s="15"/>
      <c r="M3" s="10"/>
      <c r="N3" s="53"/>
      <c r="O3" s="53"/>
      <c r="P3" s="15"/>
      <c r="Q3" s="15"/>
      <c r="R3" s="15"/>
      <c r="T3" s="78"/>
    </row>
    <row r="4" spans="1:20" s="1" customFormat="true" ht="28.95" customHeight="true">
      <c r="A4" s="13"/>
      <c r="B4" s="13"/>
      <c r="C4" s="13"/>
      <c r="D4" s="13"/>
      <c r="E4" s="14"/>
      <c r="F4" s="14"/>
      <c r="G4" s="14"/>
      <c r="H4" s="15"/>
      <c r="I4" s="13"/>
      <c r="J4" s="13"/>
      <c r="K4" s="54" t="s">
        <v>16</v>
      </c>
      <c r="L4" s="55" t="s">
        <v>17</v>
      </c>
      <c r="M4" s="13"/>
      <c r="N4" s="55" t="s">
        <v>18</v>
      </c>
      <c r="O4" s="55" t="s">
        <v>19</v>
      </c>
      <c r="P4" s="55" t="s">
        <v>20</v>
      </c>
      <c r="Q4" s="55" t="s">
        <v>21</v>
      </c>
      <c r="R4" s="55" t="s">
        <v>22</v>
      </c>
      <c r="T4" s="78"/>
    </row>
    <row r="5" spans="1:20" s="2" customFormat="true" customHeight="true">
      <c r="A5" s="16">
        <v>1</v>
      </c>
      <c r="B5" s="17" t="str">
        <f>=DISPIMG("ID_5EC62790267841CA8922503562A43D6B",1)</f>
        <v>=DISPIMG("ID_5EC62790267841CA8922503562A43D6B",1)</v>
      </c>
      <c r="C5" s="18" t="s">
        <v>130</v>
      </c>
      <c r="D5" s="18" t="s">
        <v>131</v>
      </c>
      <c r="E5" s="20"/>
      <c r="F5" s="20"/>
      <c r="G5" s="20" t="s">
        <v>25</v>
      </c>
      <c r="H5" s="21" t="str">
        <f>=DISPIMG("ID_C07F0F0E8D5C470990597A28887834D2",1)</f>
        <v>=DISPIMG("ID_C07F0F0E8D5C470990597A28887834D2",1)</v>
      </c>
      <c r="I5" s="86">
        <v>18.395</v>
      </c>
      <c r="J5" s="57" t="s">
        <v>26</v>
      </c>
      <c r="K5" s="23">
        <v>0</v>
      </c>
      <c r="L5" s="58">
        <f>I5*K5</f>
        <v>0</v>
      </c>
      <c r="M5" s="57" t="s">
        <v>26</v>
      </c>
      <c r="N5" s="23">
        <v>0</v>
      </c>
      <c r="O5" s="23">
        <v>0</v>
      </c>
      <c r="P5" s="23">
        <v>0</v>
      </c>
      <c r="Q5" s="23"/>
      <c r="R5" s="23"/>
      <c r="T5" s="79"/>
    </row>
    <row r="6" spans="1:20" s="2" customFormat="true">
      <c r="A6" s="16"/>
      <c r="B6" s="16"/>
      <c r="C6" s="22"/>
      <c r="D6" s="22"/>
      <c r="E6" s="20"/>
      <c r="F6" s="20"/>
      <c r="G6" s="20"/>
      <c r="H6" s="21"/>
      <c r="I6" s="87"/>
      <c r="J6" s="57" t="s">
        <v>27</v>
      </c>
      <c r="K6" s="23">
        <v>236</v>
      </c>
      <c r="L6" s="58">
        <f>I5*K6</f>
        <v>4341.22</v>
      </c>
      <c r="M6" s="57" t="s">
        <v>27</v>
      </c>
      <c r="N6" s="23">
        <v>0</v>
      </c>
      <c r="O6" s="23">
        <v>4</v>
      </c>
      <c r="P6" s="23">
        <f t="shared" ref="P6:P9" si="0">MAX(0,K6-O6)</f>
        <v>232</v>
      </c>
      <c r="Q6" s="23">
        <v>1</v>
      </c>
      <c r="R6" s="23"/>
      <c r="T6" s="79"/>
    </row>
    <row r="7" spans="1:20" s="2" customFormat="true">
      <c r="A7" s="16"/>
      <c r="B7" s="16"/>
      <c r="C7" s="22"/>
      <c r="D7" s="22"/>
      <c r="E7" s="20"/>
      <c r="F7" s="20"/>
      <c r="G7" s="20"/>
      <c r="H7" s="21"/>
      <c r="I7" s="87"/>
      <c r="J7" s="57" t="s">
        <v>28</v>
      </c>
      <c r="K7" s="23">
        <v>333</v>
      </c>
      <c r="L7" s="58">
        <f>I5*K7</f>
        <v>6125.535</v>
      </c>
      <c r="M7" s="57" t="s">
        <v>28</v>
      </c>
      <c r="N7" s="23">
        <v>0</v>
      </c>
      <c r="O7" s="23">
        <v>2</v>
      </c>
      <c r="P7" s="23">
        <f t="shared" si="0"/>
        <v>331</v>
      </c>
      <c r="Q7" s="23">
        <v>1</v>
      </c>
      <c r="R7" s="23"/>
      <c r="T7" s="79"/>
    </row>
    <row r="8" spans="1:20" s="2" customFormat="true">
      <c r="A8" s="16"/>
      <c r="B8" s="16"/>
      <c r="C8" s="22"/>
      <c r="D8" s="22"/>
      <c r="E8" s="20"/>
      <c r="F8" s="20"/>
      <c r="G8" s="20"/>
      <c r="H8" s="21"/>
      <c r="I8" s="87"/>
      <c r="J8" s="57" t="s">
        <v>29</v>
      </c>
      <c r="K8" s="23">
        <v>365</v>
      </c>
      <c r="L8" s="58">
        <f>I5*K8</f>
        <v>6714.175</v>
      </c>
      <c r="M8" s="57" t="s">
        <v>29</v>
      </c>
      <c r="N8" s="23">
        <v>0</v>
      </c>
      <c r="O8" s="23">
        <v>4</v>
      </c>
      <c r="P8" s="23">
        <f t="shared" si="0"/>
        <v>361</v>
      </c>
      <c r="Q8" s="23">
        <v>0</v>
      </c>
      <c r="R8" s="23"/>
      <c r="T8" s="79"/>
    </row>
    <row r="9" spans="1:20" s="2" customFormat="true">
      <c r="A9" s="16"/>
      <c r="B9" s="16"/>
      <c r="C9" s="22"/>
      <c r="D9" s="22"/>
      <c r="E9" s="20"/>
      <c r="F9" s="20"/>
      <c r="G9" s="20"/>
      <c r="H9" s="21"/>
      <c r="I9" s="87"/>
      <c r="J9" s="57" t="s">
        <v>30</v>
      </c>
      <c r="K9" s="23">
        <v>252</v>
      </c>
      <c r="L9" s="58">
        <f>I5*K9</f>
        <v>4635.54</v>
      </c>
      <c r="M9" s="57" t="s">
        <v>30</v>
      </c>
      <c r="N9" s="23">
        <v>0</v>
      </c>
      <c r="O9" s="23">
        <v>4</v>
      </c>
      <c r="P9" s="23">
        <f t="shared" si="0"/>
        <v>248</v>
      </c>
      <c r="Q9" s="23">
        <v>1</v>
      </c>
      <c r="R9" s="23"/>
      <c r="T9" s="79"/>
    </row>
    <row r="10" spans="1:20" s="2" customFormat="true">
      <c r="A10" s="16"/>
      <c r="B10" s="16"/>
      <c r="C10" s="22"/>
      <c r="D10" s="22"/>
      <c r="E10" s="20"/>
      <c r="F10" s="20"/>
      <c r="G10" s="20"/>
      <c r="H10" s="21"/>
      <c r="I10" s="88"/>
      <c r="J10" s="23" t="s">
        <v>31</v>
      </c>
      <c r="K10" s="23">
        <v>0</v>
      </c>
      <c r="L10" s="58">
        <f>I5*K10</f>
        <v>0</v>
      </c>
      <c r="M10" s="23" t="s">
        <v>31</v>
      </c>
      <c r="N10" s="23">
        <v>0</v>
      </c>
      <c r="O10" s="23">
        <v>0</v>
      </c>
      <c r="P10" s="23">
        <v>0</v>
      </c>
      <c r="Q10" s="23"/>
      <c r="R10" s="23"/>
      <c r="T10" s="79"/>
    </row>
    <row r="11" spans="1:20" s="2" customFormat="true">
      <c r="A11" s="24"/>
      <c r="B11" s="24"/>
      <c r="C11" s="25"/>
      <c r="D11" s="25"/>
      <c r="E11" s="26"/>
      <c r="F11" s="26"/>
      <c r="G11" s="26"/>
      <c r="H11" s="27"/>
      <c r="J11" s="61" t="s">
        <v>32</v>
      </c>
      <c r="K11" s="62">
        <f>SUM(K5:K10)</f>
        <v>1186</v>
      </c>
      <c r="L11" s="63">
        <f>SUM(L5:L10)</f>
        <v>21816.47</v>
      </c>
      <c r="M11" s="61" t="s">
        <v>32</v>
      </c>
      <c r="N11" s="62" cm="1">
        <f t="array" ref="N11">SUMPRODUCT(--(N5:N10))</f>
        <v>0</v>
      </c>
      <c r="O11" s="62" cm="1">
        <f t="array" ref="O11">SUMPRODUCT(--(O5:O10))</f>
        <v>14</v>
      </c>
      <c r="P11" s="64" cm="1">
        <f t="array" ref="P11">SUMPRODUCT(--(P5:P10))</f>
        <v>1172</v>
      </c>
      <c r="Q11" s="64">
        <f>SUM(Q5:Q10)</f>
        <v>3</v>
      </c>
      <c r="R11" s="64">
        <f>SUM(R5:R10)</f>
        <v>0</v>
      </c>
      <c r="T11" s="79"/>
    </row>
    <row r="12" spans="1:20" s="2" customFormat="true" ht="17.4" customHeight="true">
      <c r="A12" s="28"/>
      <c r="B12" s="29"/>
      <c r="C12" s="29"/>
      <c r="D12" s="29"/>
      <c r="E12" s="29"/>
      <c r="F12" s="29"/>
      <c r="G12" s="29"/>
      <c r="H12" s="29"/>
      <c r="I12" s="29"/>
      <c r="J12" s="29"/>
      <c r="K12" s="29"/>
      <c r="L12" s="29"/>
      <c r="M12" s="29"/>
      <c r="N12" s="29"/>
      <c r="O12" s="29"/>
      <c r="P12" s="29"/>
      <c r="Q12" s="29"/>
      <c r="R12" s="29"/>
      <c r="T12" s="79"/>
    </row>
    <row r="13" spans="1:21" s="1" customFormat="true" ht="10.95" customHeight="true">
      <c r="A13" s="7" t="s">
        <v>3</v>
      </c>
      <c r="B13" s="30" t="s">
        <v>4</v>
      </c>
      <c r="C13" s="30" t="s">
        <v>5</v>
      </c>
      <c r="D13" s="30" t="s">
        <v>6</v>
      </c>
      <c r="E13" s="30"/>
      <c r="F13" s="30"/>
      <c r="G13" s="30" t="s">
        <v>9</v>
      </c>
      <c r="H13" s="30"/>
      <c r="I13" s="7" t="s">
        <v>10</v>
      </c>
      <c r="J13" s="7" t="s">
        <v>11</v>
      </c>
      <c r="K13" s="8" t="s">
        <v>12</v>
      </c>
      <c r="L13" s="9"/>
      <c r="M13" s="7" t="s">
        <v>11</v>
      </c>
      <c r="N13" s="52" t="s">
        <v>13</v>
      </c>
      <c r="O13" s="52"/>
      <c r="P13" s="9"/>
      <c r="Q13" s="9" t="s">
        <v>14</v>
      </c>
      <c r="R13" s="9" t="s">
        <v>15</v>
      </c>
      <c r="T13" s="78"/>
      <c r="U13" s="2"/>
    </row>
    <row r="14" spans="1:20" s="1" customFormat="true" ht="16.05" customHeight="true">
      <c r="A14" s="10"/>
      <c r="B14" s="30"/>
      <c r="C14" s="30"/>
      <c r="D14" s="30"/>
      <c r="E14" s="30"/>
      <c r="F14" s="30"/>
      <c r="G14" s="30"/>
      <c r="H14" s="30"/>
      <c r="I14" s="10"/>
      <c r="J14" s="10"/>
      <c r="K14" s="14"/>
      <c r="L14" s="15"/>
      <c r="M14" s="10"/>
      <c r="N14" s="53"/>
      <c r="O14" s="53"/>
      <c r="P14" s="15"/>
      <c r="Q14" s="15"/>
      <c r="R14" s="15"/>
      <c r="T14" s="78"/>
    </row>
    <row r="15" spans="1:20" s="1" customFormat="true" ht="28.95" customHeight="true">
      <c r="A15" s="13"/>
      <c r="B15" s="30"/>
      <c r="C15" s="30"/>
      <c r="D15" s="30"/>
      <c r="E15" s="30"/>
      <c r="F15" s="30"/>
      <c r="G15" s="30"/>
      <c r="H15" s="30"/>
      <c r="I15" s="13"/>
      <c r="J15" s="13"/>
      <c r="K15" s="54" t="s">
        <v>16</v>
      </c>
      <c r="L15" s="55" t="s">
        <v>17</v>
      </c>
      <c r="M15" s="13"/>
      <c r="N15" s="55" t="s">
        <v>18</v>
      </c>
      <c r="O15" s="55" t="s">
        <v>19</v>
      </c>
      <c r="P15" s="55" t="s">
        <v>20</v>
      </c>
      <c r="Q15" s="55" t="s">
        <v>21</v>
      </c>
      <c r="R15" s="55" t="s">
        <v>22</v>
      </c>
      <c r="T15" s="78"/>
    </row>
    <row r="16" spans="1:20" s="2" customFormat="true" ht="13.95" customHeight="true">
      <c r="A16" s="16">
        <v>2</v>
      </c>
      <c r="B16" s="17" t="str">
        <f>=DISPIMG("ID_5F4F4923EAD045DDB013EE6CE7536F82",1)</f>
        <v>=DISPIMG("ID_5F4F4923EAD045DDB013EE6CE7536F82",1)</v>
      </c>
      <c r="C16" s="18" t="s">
        <v>132</v>
      </c>
      <c r="D16" s="18" t="s">
        <v>131</v>
      </c>
      <c r="E16" s="20"/>
      <c r="F16" s="20"/>
      <c r="G16" s="20" t="s">
        <v>34</v>
      </c>
      <c r="H16" s="21" t="str">
        <f>=DISPIMG("ID_AA528AEB109642CB851291505E5983A2",1)</f>
        <v>=DISPIMG("ID_AA528AEB109642CB851291505E5983A2",1)</v>
      </c>
      <c r="I16" s="86">
        <v>18.395</v>
      </c>
      <c r="J16" s="57" t="s">
        <v>26</v>
      </c>
      <c r="K16" s="23">
        <v>0</v>
      </c>
      <c r="L16" s="58">
        <f>I16*K16</f>
        <v>0</v>
      </c>
      <c r="M16" s="57" t="s">
        <v>26</v>
      </c>
      <c r="N16" s="23">
        <v>0</v>
      </c>
      <c r="O16" s="23">
        <v>0</v>
      </c>
      <c r="P16" s="23">
        <v>0</v>
      </c>
      <c r="Q16" s="23"/>
      <c r="R16" s="23"/>
      <c r="T16" s="79"/>
    </row>
    <row r="17" spans="1:20" s="2" customFormat="true">
      <c r="A17" s="16"/>
      <c r="B17" s="16"/>
      <c r="C17" s="22"/>
      <c r="D17" s="22"/>
      <c r="E17" s="20"/>
      <c r="F17" s="20"/>
      <c r="G17" s="20"/>
      <c r="H17" s="21"/>
      <c r="I17" s="87"/>
      <c r="J17" s="57" t="s">
        <v>27</v>
      </c>
      <c r="K17" s="23">
        <v>246</v>
      </c>
      <c r="L17" s="58">
        <f>I16*K17</f>
        <v>4525.17</v>
      </c>
      <c r="M17" s="57" t="s">
        <v>27</v>
      </c>
      <c r="N17" s="23">
        <v>0</v>
      </c>
      <c r="O17" s="23">
        <v>8</v>
      </c>
      <c r="P17" s="23">
        <f t="shared" ref="P17:P20" si="1">MAX(0,K17-O17)</f>
        <v>238</v>
      </c>
      <c r="Q17" s="23">
        <v>2</v>
      </c>
      <c r="R17" s="23"/>
      <c r="T17" s="79"/>
    </row>
    <row r="18" spans="1:20" s="2" customFormat="true">
      <c r="A18" s="16"/>
      <c r="B18" s="16"/>
      <c r="C18" s="22"/>
      <c r="D18" s="22"/>
      <c r="E18" s="20"/>
      <c r="F18" s="20"/>
      <c r="G18" s="20"/>
      <c r="H18" s="21"/>
      <c r="I18" s="87"/>
      <c r="J18" s="57" t="s">
        <v>28</v>
      </c>
      <c r="K18" s="23">
        <v>270</v>
      </c>
      <c r="L18" s="58">
        <f>I16*K18</f>
        <v>4966.65</v>
      </c>
      <c r="M18" s="57" t="s">
        <v>28</v>
      </c>
      <c r="N18" s="23">
        <v>0</v>
      </c>
      <c r="O18" s="23">
        <v>11</v>
      </c>
      <c r="P18" s="23">
        <f t="shared" si="1"/>
        <v>259</v>
      </c>
      <c r="Q18" s="23">
        <v>1</v>
      </c>
      <c r="R18" s="23"/>
      <c r="T18" s="79"/>
    </row>
    <row r="19" spans="1:20" s="2" customFormat="true">
      <c r="A19" s="16"/>
      <c r="B19" s="16"/>
      <c r="C19" s="22"/>
      <c r="D19" s="22"/>
      <c r="E19" s="20"/>
      <c r="F19" s="20"/>
      <c r="G19" s="20"/>
      <c r="H19" s="21"/>
      <c r="I19" s="87"/>
      <c r="J19" s="57" t="s">
        <v>29</v>
      </c>
      <c r="K19" s="23">
        <v>236</v>
      </c>
      <c r="L19" s="58">
        <f>I16*K19</f>
        <v>4341.22</v>
      </c>
      <c r="M19" s="57" t="s">
        <v>29</v>
      </c>
      <c r="N19" s="23">
        <v>0</v>
      </c>
      <c r="O19" s="23">
        <v>5</v>
      </c>
      <c r="P19" s="23">
        <f t="shared" si="1"/>
        <v>231</v>
      </c>
      <c r="Q19" s="23">
        <v>0</v>
      </c>
      <c r="R19" s="23"/>
      <c r="T19" s="79"/>
    </row>
    <row r="20" spans="1:20" s="2" customFormat="true">
      <c r="A20" s="16"/>
      <c r="B20" s="16"/>
      <c r="C20" s="22"/>
      <c r="D20" s="22"/>
      <c r="E20" s="20"/>
      <c r="F20" s="20"/>
      <c r="G20" s="20"/>
      <c r="H20" s="21"/>
      <c r="I20" s="87"/>
      <c r="J20" s="57" t="s">
        <v>30</v>
      </c>
      <c r="K20" s="23">
        <v>283</v>
      </c>
      <c r="L20" s="58">
        <f>I16*K20</f>
        <v>5205.785</v>
      </c>
      <c r="M20" s="57" t="s">
        <v>30</v>
      </c>
      <c r="N20" s="23">
        <v>0</v>
      </c>
      <c r="O20" s="23">
        <v>5</v>
      </c>
      <c r="P20" s="23">
        <f t="shared" si="1"/>
        <v>278</v>
      </c>
      <c r="Q20" s="23">
        <v>0</v>
      </c>
      <c r="R20" s="23"/>
      <c r="T20" s="79"/>
    </row>
    <row r="21" spans="1:20" s="2" customFormat="true">
      <c r="A21" s="16"/>
      <c r="B21" s="16"/>
      <c r="C21" s="22"/>
      <c r="D21" s="22"/>
      <c r="E21" s="20"/>
      <c r="F21" s="20"/>
      <c r="G21" s="20"/>
      <c r="H21" s="21"/>
      <c r="I21" s="88"/>
      <c r="J21" s="23" t="s">
        <v>31</v>
      </c>
      <c r="K21" s="23">
        <v>0</v>
      </c>
      <c r="L21" s="58">
        <f>I16*K21</f>
        <v>0</v>
      </c>
      <c r="M21" s="23" t="s">
        <v>31</v>
      </c>
      <c r="N21" s="23">
        <v>0</v>
      </c>
      <c r="O21" s="23">
        <v>0</v>
      </c>
      <c r="P21" s="23">
        <v>0</v>
      </c>
      <c r="Q21" s="23"/>
      <c r="R21" s="23"/>
      <c r="T21" s="79"/>
    </row>
    <row r="22" spans="1:20" s="2" customFormat="true">
      <c r="A22" s="24"/>
      <c r="B22" s="24"/>
      <c r="C22" s="25"/>
      <c r="D22" s="25"/>
      <c r="E22" s="26"/>
      <c r="F22" s="26"/>
      <c r="G22" s="26"/>
      <c r="H22" s="27"/>
      <c r="I22" s="62"/>
      <c r="J22" s="61" t="s">
        <v>32</v>
      </c>
      <c r="K22" s="62">
        <f>SUM(K16:K21)</f>
        <v>1035</v>
      </c>
      <c r="L22" s="63">
        <f>SUM(L16:L21)</f>
        <v>19038.825</v>
      </c>
      <c r="M22" s="61" t="s">
        <v>32</v>
      </c>
      <c r="N22" s="62" cm="1">
        <f t="array" ref="N22">SUMPRODUCT(--(N16:N21))</f>
        <v>0</v>
      </c>
      <c r="O22" s="62" cm="1">
        <f t="array" ref="O22">SUMPRODUCT(--(O16:O21))</f>
        <v>29</v>
      </c>
      <c r="P22" s="64" cm="1">
        <f t="array" ref="P22">SUMPRODUCT(--(P16:P21))</f>
        <v>1006</v>
      </c>
      <c r="Q22" s="64">
        <f>SUM(Q16:Q21)</f>
        <v>3</v>
      </c>
      <c r="R22" s="64">
        <f>SUM(R16:R21)</f>
        <v>0</v>
      </c>
      <c r="T22" s="79"/>
    </row>
    <row r="23" spans="1:20" s="2" customFormat="true" ht="17.4" customHeight="true">
      <c r="A23" s="28"/>
      <c r="B23" s="29"/>
      <c r="C23" s="29"/>
      <c r="D23" s="29"/>
      <c r="E23" s="29"/>
      <c r="F23" s="29"/>
      <c r="G23" s="29"/>
      <c r="H23" s="29"/>
      <c r="I23" s="29"/>
      <c r="J23" s="29"/>
      <c r="K23" s="29"/>
      <c r="L23" s="29"/>
      <c r="M23" s="29"/>
      <c r="N23" s="29"/>
      <c r="O23" s="29"/>
      <c r="P23" s="29"/>
      <c r="Q23" s="65"/>
      <c r="R23" s="65"/>
      <c r="T23" s="79"/>
    </row>
    <row r="24" spans="1:20" s="1" customFormat="true" ht="10.95" customHeight="true">
      <c r="A24" s="7" t="s">
        <v>3</v>
      </c>
      <c r="B24" s="30" t="s">
        <v>4</v>
      </c>
      <c r="C24" s="30" t="s">
        <v>5</v>
      </c>
      <c r="D24" s="30" t="s">
        <v>6</v>
      </c>
      <c r="E24" s="30"/>
      <c r="F24" s="30"/>
      <c r="G24" s="30" t="s">
        <v>9</v>
      </c>
      <c r="H24" s="30"/>
      <c r="I24" s="7" t="s">
        <v>10</v>
      </c>
      <c r="J24" s="7" t="s">
        <v>11</v>
      </c>
      <c r="K24" s="8" t="s">
        <v>12</v>
      </c>
      <c r="L24" s="9"/>
      <c r="M24" s="7" t="s">
        <v>11</v>
      </c>
      <c r="N24" s="52" t="s">
        <v>13</v>
      </c>
      <c r="O24" s="52"/>
      <c r="P24" s="9"/>
      <c r="Q24" s="9" t="s">
        <v>14</v>
      </c>
      <c r="R24" s="9" t="s">
        <v>15</v>
      </c>
      <c r="T24" s="78"/>
    </row>
    <row r="25" spans="1:20" s="1" customFormat="true" ht="16.05" customHeight="true">
      <c r="A25" s="10"/>
      <c r="B25" s="30"/>
      <c r="C25" s="30"/>
      <c r="D25" s="30"/>
      <c r="E25" s="30"/>
      <c r="F25" s="30"/>
      <c r="G25" s="30"/>
      <c r="H25" s="30"/>
      <c r="I25" s="10"/>
      <c r="J25" s="10"/>
      <c r="K25" s="14"/>
      <c r="L25" s="15"/>
      <c r="M25" s="10"/>
      <c r="N25" s="53"/>
      <c r="O25" s="53"/>
      <c r="P25" s="15"/>
      <c r="Q25" s="15"/>
      <c r="R25" s="15"/>
      <c r="T25" s="78"/>
    </row>
    <row r="26" spans="1:20" s="1" customFormat="true" ht="28.95" customHeight="true">
      <c r="A26" s="13"/>
      <c r="B26" s="30"/>
      <c r="C26" s="30"/>
      <c r="D26" s="30"/>
      <c r="E26" s="30"/>
      <c r="F26" s="30"/>
      <c r="G26" s="30"/>
      <c r="H26" s="30"/>
      <c r="I26" s="13"/>
      <c r="J26" s="13"/>
      <c r="K26" s="54" t="s">
        <v>16</v>
      </c>
      <c r="L26" s="55" t="s">
        <v>17</v>
      </c>
      <c r="M26" s="13"/>
      <c r="N26" s="55" t="s">
        <v>18</v>
      </c>
      <c r="O26" s="55" t="s">
        <v>19</v>
      </c>
      <c r="P26" s="55" t="s">
        <v>20</v>
      </c>
      <c r="Q26" s="55" t="s">
        <v>21</v>
      </c>
      <c r="R26" s="55" t="s">
        <v>22</v>
      </c>
      <c r="T26" s="78"/>
    </row>
    <row r="27" spans="1:20" s="2" customFormat="true" ht="13.95" customHeight="true">
      <c r="A27" s="16">
        <v>3</v>
      </c>
      <c r="B27" s="17" t="str">
        <f>=DISPIMG("ID_3C01E72DD1A7479DAC22DD35CDA874DF",1)</f>
        <v>=DISPIMG("ID_3C01E72DD1A7479DAC22DD35CDA874DF",1)</v>
      </c>
      <c r="C27" s="18" t="s">
        <v>133</v>
      </c>
      <c r="D27" s="18" t="s">
        <v>131</v>
      </c>
      <c r="E27" s="20"/>
      <c r="F27" s="20"/>
      <c r="G27" s="20" t="s">
        <v>113</v>
      </c>
      <c r="H27" s="21" t="str">
        <f>=DISPIMG("ID_CF1B333C94264FA6B7FFBEDC73367B3F",1)</f>
        <v>=DISPIMG("ID_CF1B333C94264FA6B7FFBEDC73367B3F",1)</v>
      </c>
      <c r="I27" s="86">
        <v>18.395</v>
      </c>
      <c r="J27" s="57" t="s">
        <v>26</v>
      </c>
      <c r="K27" s="23">
        <v>0</v>
      </c>
      <c r="L27" s="58">
        <f>I27*K27</f>
        <v>0</v>
      </c>
      <c r="M27" s="57" t="s">
        <v>26</v>
      </c>
      <c r="N27" s="23">
        <v>0</v>
      </c>
      <c r="O27" s="23">
        <f>K27-P27</f>
        <v>0</v>
      </c>
      <c r="P27" s="23">
        <v>0</v>
      </c>
      <c r="Q27" s="23"/>
      <c r="R27" s="23"/>
      <c r="T27" s="79"/>
    </row>
    <row r="28" spans="1:20" s="2" customFormat="true">
      <c r="A28" s="16"/>
      <c r="B28" s="16"/>
      <c r="C28" s="22"/>
      <c r="D28" s="22"/>
      <c r="E28" s="20"/>
      <c r="F28" s="20"/>
      <c r="G28" s="20"/>
      <c r="H28" s="21"/>
      <c r="I28" s="87"/>
      <c r="J28" s="57" t="s">
        <v>27</v>
      </c>
      <c r="K28" s="23">
        <v>205</v>
      </c>
      <c r="L28" s="58">
        <f>I27*K28</f>
        <v>3770.975</v>
      </c>
      <c r="M28" s="57" t="s">
        <v>27</v>
      </c>
      <c r="N28" s="23">
        <v>0</v>
      </c>
      <c r="O28" s="23">
        <v>3</v>
      </c>
      <c r="P28" s="23">
        <f t="shared" ref="P28:P31" si="2">MAX(0,K28-O28)</f>
        <v>202</v>
      </c>
      <c r="Q28" s="23">
        <v>0</v>
      </c>
      <c r="R28" s="23"/>
      <c r="T28" s="79"/>
    </row>
    <row r="29" spans="1:20" s="2" customFormat="true">
      <c r="A29" s="16"/>
      <c r="B29" s="16"/>
      <c r="C29" s="22"/>
      <c r="D29" s="22"/>
      <c r="E29" s="20"/>
      <c r="F29" s="20"/>
      <c r="G29" s="20"/>
      <c r="H29" s="21"/>
      <c r="I29" s="87"/>
      <c r="J29" s="57" t="s">
        <v>28</v>
      </c>
      <c r="K29" s="23">
        <v>276</v>
      </c>
      <c r="L29" s="58">
        <f>I27*K29</f>
        <v>5077.02</v>
      </c>
      <c r="M29" s="57" t="s">
        <v>28</v>
      </c>
      <c r="N29" s="23">
        <v>0</v>
      </c>
      <c r="O29" s="23">
        <v>1</v>
      </c>
      <c r="P29" s="23">
        <f t="shared" si="2"/>
        <v>275</v>
      </c>
      <c r="Q29" s="23">
        <v>0</v>
      </c>
      <c r="R29" s="23"/>
      <c r="T29" s="79"/>
    </row>
    <row r="30" spans="1:20" s="2" customFormat="true">
      <c r="A30" s="16"/>
      <c r="B30" s="16"/>
      <c r="C30" s="22"/>
      <c r="D30" s="22"/>
      <c r="E30" s="20"/>
      <c r="F30" s="20"/>
      <c r="G30" s="20"/>
      <c r="H30" s="21"/>
      <c r="I30" s="87"/>
      <c r="J30" s="57" t="s">
        <v>29</v>
      </c>
      <c r="K30" s="23">
        <v>172</v>
      </c>
      <c r="L30" s="58">
        <f>I27*K30</f>
        <v>3163.94</v>
      </c>
      <c r="M30" s="57" t="s">
        <v>29</v>
      </c>
      <c r="N30" s="23">
        <v>0</v>
      </c>
      <c r="O30" s="23">
        <v>4</v>
      </c>
      <c r="P30" s="23">
        <f t="shared" si="2"/>
        <v>168</v>
      </c>
      <c r="Q30" s="23">
        <v>0</v>
      </c>
      <c r="R30" s="23"/>
      <c r="T30" s="79"/>
    </row>
    <row r="31" spans="1:20" s="2" customFormat="true">
      <c r="A31" s="16"/>
      <c r="B31" s="16"/>
      <c r="C31" s="22"/>
      <c r="D31" s="22"/>
      <c r="E31" s="20"/>
      <c r="F31" s="20"/>
      <c r="G31" s="20"/>
      <c r="H31" s="21"/>
      <c r="I31" s="87"/>
      <c r="J31" s="57" t="s">
        <v>30</v>
      </c>
      <c r="K31" s="23">
        <v>30</v>
      </c>
      <c r="L31" s="58">
        <f>I27*K31</f>
        <v>551.85</v>
      </c>
      <c r="M31" s="57" t="s">
        <v>30</v>
      </c>
      <c r="N31" s="23">
        <v>0</v>
      </c>
      <c r="O31" s="23">
        <v>2</v>
      </c>
      <c r="P31" s="23">
        <f t="shared" si="2"/>
        <v>28</v>
      </c>
      <c r="Q31" s="23">
        <v>0</v>
      </c>
      <c r="R31" s="23"/>
      <c r="T31" s="79"/>
    </row>
    <row r="32" spans="1:20" s="2" customFormat="true">
      <c r="A32" s="16"/>
      <c r="B32" s="16"/>
      <c r="C32" s="22"/>
      <c r="D32" s="22"/>
      <c r="E32" s="20"/>
      <c r="F32" s="20"/>
      <c r="G32" s="20"/>
      <c r="H32" s="21"/>
      <c r="I32" s="88"/>
      <c r="J32" s="23" t="s">
        <v>31</v>
      </c>
      <c r="K32" s="23">
        <v>0</v>
      </c>
      <c r="L32" s="58">
        <f>I27*K32</f>
        <v>0</v>
      </c>
      <c r="M32" s="23" t="s">
        <v>31</v>
      </c>
      <c r="N32" s="23">
        <v>0</v>
      </c>
      <c r="O32" s="23">
        <f>K32-P32</f>
        <v>0</v>
      </c>
      <c r="P32" s="23">
        <v>0</v>
      </c>
      <c r="Q32" s="23"/>
      <c r="R32" s="23"/>
      <c r="T32" s="79"/>
    </row>
    <row r="33" spans="1:20" s="2" customFormat="true">
      <c r="A33" s="24"/>
      <c r="B33" s="24"/>
      <c r="C33" s="25"/>
      <c r="D33" s="25"/>
      <c r="E33" s="26"/>
      <c r="F33" s="26"/>
      <c r="G33" s="26"/>
      <c r="H33" s="27"/>
      <c r="I33" s="62"/>
      <c r="J33" s="61" t="s">
        <v>32</v>
      </c>
      <c r="K33" s="62">
        <f>SUM(K27:K32)</f>
        <v>683</v>
      </c>
      <c r="L33" s="63">
        <f>SUM(L27:L32)</f>
        <v>12563.785</v>
      </c>
      <c r="M33" s="61" t="s">
        <v>32</v>
      </c>
      <c r="N33" s="62" cm="1">
        <f t="array" ref="N33">SUMPRODUCT(--(N27:N32))</f>
        <v>0</v>
      </c>
      <c r="O33" s="62" cm="1">
        <f t="array" ref="O33">SUMPRODUCT(--(O27:O32))</f>
        <v>10</v>
      </c>
      <c r="P33" s="64" cm="1">
        <f t="array" ref="P33">SUMPRODUCT(--(P27:P32))</f>
        <v>673</v>
      </c>
      <c r="Q33" s="64">
        <f>SUM(Q27:Q32)</f>
        <v>0</v>
      </c>
      <c r="R33" s="64">
        <f>SUM(R27:R32)</f>
        <v>0</v>
      </c>
      <c r="T33" s="79"/>
    </row>
    <row r="34" spans="1:20" s="2" customFormat="true" ht="17.4" customHeight="true">
      <c r="A34" s="28"/>
      <c r="B34" s="29"/>
      <c r="C34" s="29"/>
      <c r="D34" s="29"/>
      <c r="E34" s="29"/>
      <c r="F34" s="29"/>
      <c r="G34" s="29"/>
      <c r="H34" s="29"/>
      <c r="I34" s="29"/>
      <c r="J34" s="29"/>
      <c r="K34" s="29"/>
      <c r="L34" s="29"/>
      <c r="M34" s="29"/>
      <c r="N34" s="29"/>
      <c r="O34" s="29"/>
      <c r="P34" s="29"/>
      <c r="Q34" s="29"/>
      <c r="R34" s="29"/>
      <c r="T34" s="79"/>
    </row>
    <row r="35" spans="1:20" s="1" customFormat="true" ht="10.95" customHeight="true">
      <c r="A35" s="7" t="s">
        <v>3</v>
      </c>
      <c r="B35" s="30" t="s">
        <v>4</v>
      </c>
      <c r="C35" s="30" t="s">
        <v>5</v>
      </c>
      <c r="D35" s="30" t="s">
        <v>6</v>
      </c>
      <c r="E35" s="30"/>
      <c r="F35" s="30"/>
      <c r="G35" s="30" t="s">
        <v>9</v>
      </c>
      <c r="H35" s="30"/>
      <c r="I35" s="7" t="s">
        <v>10</v>
      </c>
      <c r="J35" s="7" t="s">
        <v>11</v>
      </c>
      <c r="K35" s="8" t="s">
        <v>12</v>
      </c>
      <c r="L35" s="9"/>
      <c r="M35" s="7" t="s">
        <v>11</v>
      </c>
      <c r="N35" s="52" t="s">
        <v>13</v>
      </c>
      <c r="O35" s="52"/>
      <c r="P35" s="9"/>
      <c r="Q35" s="9" t="s">
        <v>14</v>
      </c>
      <c r="R35" s="9" t="s">
        <v>15</v>
      </c>
      <c r="T35" s="78"/>
    </row>
    <row r="36" spans="1:20" s="1" customFormat="true" ht="16.05" customHeight="true">
      <c r="A36" s="10"/>
      <c r="B36" s="30"/>
      <c r="C36" s="30"/>
      <c r="D36" s="30"/>
      <c r="E36" s="30"/>
      <c r="F36" s="30"/>
      <c r="G36" s="30"/>
      <c r="H36" s="30"/>
      <c r="I36" s="10"/>
      <c r="J36" s="10"/>
      <c r="K36" s="14"/>
      <c r="L36" s="15"/>
      <c r="M36" s="10"/>
      <c r="N36" s="53"/>
      <c r="O36" s="53"/>
      <c r="P36" s="15"/>
      <c r="Q36" s="15"/>
      <c r="R36" s="15"/>
      <c r="T36" s="78"/>
    </row>
    <row r="37" spans="1:20" s="1" customFormat="true" ht="28.95" customHeight="true">
      <c r="A37" s="13"/>
      <c r="B37" s="30"/>
      <c r="C37" s="30"/>
      <c r="D37" s="30"/>
      <c r="E37" s="30"/>
      <c r="F37" s="30"/>
      <c r="G37" s="30"/>
      <c r="H37" s="30"/>
      <c r="I37" s="13"/>
      <c r="J37" s="13"/>
      <c r="K37" s="54" t="s">
        <v>16</v>
      </c>
      <c r="L37" s="55" t="s">
        <v>17</v>
      </c>
      <c r="M37" s="13"/>
      <c r="N37" s="55" t="s">
        <v>18</v>
      </c>
      <c r="O37" s="55" t="s">
        <v>19</v>
      </c>
      <c r="P37" s="55" t="s">
        <v>20</v>
      </c>
      <c r="Q37" s="55" t="s">
        <v>21</v>
      </c>
      <c r="R37" s="55" t="s">
        <v>22</v>
      </c>
      <c r="T37" s="78"/>
    </row>
    <row r="38" spans="1:20" s="2" customFormat="true" ht="13.95" customHeight="true">
      <c r="A38" s="16">
        <v>4</v>
      </c>
      <c r="B38" s="17" t="str">
        <f>=DISPIMG("ID_3F1FD2772FFE4F849BEB7E1E263616AA",1)</f>
        <v>=DISPIMG("ID_3F1FD2772FFE4F849BEB7E1E263616AA",1)</v>
      </c>
      <c r="C38" s="18" t="s">
        <v>134</v>
      </c>
      <c r="D38" s="18" t="s">
        <v>131</v>
      </c>
      <c r="E38" s="20"/>
      <c r="F38" s="20"/>
      <c r="G38" s="20" t="s">
        <v>135</v>
      </c>
      <c r="H38" s="21" t="str">
        <f>=DISPIMG("ID_112A01E360384481A3F3A4D8236C6FB4",1)</f>
        <v>=DISPIMG("ID_112A01E360384481A3F3A4D8236C6FB4",1)</v>
      </c>
      <c r="I38" s="86">
        <v>18.395</v>
      </c>
      <c r="J38" s="57" t="s">
        <v>26</v>
      </c>
      <c r="K38" s="23">
        <v>0</v>
      </c>
      <c r="L38" s="58">
        <f>I38*K38</f>
        <v>0</v>
      </c>
      <c r="M38" s="57" t="s">
        <v>26</v>
      </c>
      <c r="N38" s="23">
        <v>0</v>
      </c>
      <c r="O38" s="23">
        <f>K38-P38</f>
        <v>0</v>
      </c>
      <c r="P38" s="23">
        <v>0</v>
      </c>
      <c r="Q38" s="23"/>
      <c r="R38" s="23"/>
      <c r="T38" s="79"/>
    </row>
    <row r="39" spans="1:20" s="2" customFormat="true">
      <c r="A39" s="16"/>
      <c r="B39" s="16"/>
      <c r="C39" s="22"/>
      <c r="D39" s="22"/>
      <c r="E39" s="20"/>
      <c r="F39" s="20"/>
      <c r="G39" s="20"/>
      <c r="H39" s="21"/>
      <c r="I39" s="87"/>
      <c r="J39" s="57" t="s">
        <v>27</v>
      </c>
      <c r="K39" s="23">
        <v>189</v>
      </c>
      <c r="L39" s="58">
        <f>I38*K39</f>
        <v>3476.655</v>
      </c>
      <c r="M39" s="57" t="s">
        <v>27</v>
      </c>
      <c r="N39" s="23">
        <v>0</v>
      </c>
      <c r="O39" s="23">
        <v>1</v>
      </c>
      <c r="P39" s="23">
        <f t="shared" ref="P39:P42" si="3">MAX(0,K39-O39)</f>
        <v>188</v>
      </c>
      <c r="Q39" s="23">
        <v>1</v>
      </c>
      <c r="R39" s="23"/>
      <c r="T39" s="79"/>
    </row>
    <row r="40" spans="1:20" s="2" customFormat="true">
      <c r="A40" s="16"/>
      <c r="B40" s="16"/>
      <c r="C40" s="22"/>
      <c r="D40" s="22"/>
      <c r="E40" s="20"/>
      <c r="F40" s="20"/>
      <c r="G40" s="20"/>
      <c r="H40" s="21"/>
      <c r="I40" s="87"/>
      <c r="J40" s="57" t="s">
        <v>28</v>
      </c>
      <c r="K40" s="23">
        <v>220</v>
      </c>
      <c r="L40" s="58">
        <f>I38*K40</f>
        <v>4046.9</v>
      </c>
      <c r="M40" s="57" t="s">
        <v>28</v>
      </c>
      <c r="N40" s="23">
        <v>0</v>
      </c>
      <c r="O40" s="23">
        <v>1</v>
      </c>
      <c r="P40" s="23">
        <f t="shared" si="3"/>
        <v>219</v>
      </c>
      <c r="Q40" s="23">
        <v>0</v>
      </c>
      <c r="R40" s="23"/>
      <c r="T40" s="79"/>
    </row>
    <row r="41" spans="1:20" s="2" customFormat="true">
      <c r="A41" s="16"/>
      <c r="B41" s="16"/>
      <c r="C41" s="22"/>
      <c r="D41" s="22"/>
      <c r="E41" s="20"/>
      <c r="F41" s="20"/>
      <c r="G41" s="20"/>
      <c r="H41" s="21"/>
      <c r="I41" s="87"/>
      <c r="J41" s="57" t="s">
        <v>29</v>
      </c>
      <c r="K41" s="23">
        <v>139</v>
      </c>
      <c r="L41" s="58">
        <f>I38*K41</f>
        <v>2556.905</v>
      </c>
      <c r="M41" s="57" t="s">
        <v>29</v>
      </c>
      <c r="N41" s="23">
        <v>0</v>
      </c>
      <c r="O41" s="23">
        <v>1</v>
      </c>
      <c r="P41" s="23">
        <f t="shared" si="3"/>
        <v>138</v>
      </c>
      <c r="Q41" s="23">
        <v>0</v>
      </c>
      <c r="R41" s="23"/>
      <c r="T41" s="79"/>
    </row>
    <row r="42" spans="1:20" s="2" customFormat="true">
      <c r="A42" s="16"/>
      <c r="B42" s="16"/>
      <c r="C42" s="22"/>
      <c r="D42" s="22"/>
      <c r="E42" s="20"/>
      <c r="F42" s="20"/>
      <c r="G42" s="20"/>
      <c r="H42" s="21"/>
      <c r="I42" s="87"/>
      <c r="J42" s="57" t="s">
        <v>30</v>
      </c>
      <c r="K42" s="23">
        <v>183</v>
      </c>
      <c r="L42" s="58">
        <f>I38*K42</f>
        <v>3366.285</v>
      </c>
      <c r="M42" s="57" t="s">
        <v>30</v>
      </c>
      <c r="N42" s="23">
        <v>0</v>
      </c>
      <c r="O42" s="23">
        <v>1</v>
      </c>
      <c r="P42" s="23">
        <f t="shared" si="3"/>
        <v>182</v>
      </c>
      <c r="Q42" s="23">
        <v>0</v>
      </c>
      <c r="R42" s="23"/>
      <c r="T42" s="79"/>
    </row>
    <row r="43" spans="1:20" s="2" customFormat="true">
      <c r="A43" s="16"/>
      <c r="B43" s="16"/>
      <c r="C43" s="22"/>
      <c r="D43" s="22"/>
      <c r="E43" s="20"/>
      <c r="F43" s="20"/>
      <c r="G43" s="20"/>
      <c r="H43" s="21"/>
      <c r="I43" s="88"/>
      <c r="J43" s="23" t="s">
        <v>31</v>
      </c>
      <c r="K43" s="23">
        <v>0</v>
      </c>
      <c r="L43" s="58">
        <f>I38*K43</f>
        <v>0</v>
      </c>
      <c r="M43" s="23" t="s">
        <v>31</v>
      </c>
      <c r="N43" s="23">
        <v>0</v>
      </c>
      <c r="O43" s="23">
        <f>K43-P43</f>
        <v>0</v>
      </c>
      <c r="P43" s="23">
        <v>0</v>
      </c>
      <c r="Q43" s="23"/>
      <c r="R43" s="23"/>
      <c r="T43" s="79"/>
    </row>
    <row r="44" spans="1:20" s="2" customFormat="true">
      <c r="A44" s="24"/>
      <c r="B44" s="24"/>
      <c r="C44" s="25"/>
      <c r="D44" s="25"/>
      <c r="E44" s="26"/>
      <c r="F44" s="26"/>
      <c r="G44" s="26"/>
      <c r="H44" s="27"/>
      <c r="I44" s="62"/>
      <c r="J44" s="61" t="s">
        <v>32</v>
      </c>
      <c r="K44" s="62">
        <f>SUM(K38:K43)</f>
        <v>731</v>
      </c>
      <c r="L44" s="63">
        <f>SUM(L38:L43)</f>
        <v>13446.745</v>
      </c>
      <c r="M44" s="61" t="s">
        <v>32</v>
      </c>
      <c r="N44" s="62" cm="1">
        <f t="array" ref="N44">SUMPRODUCT(--(N38:N43))</f>
        <v>0</v>
      </c>
      <c r="O44" s="62" cm="1">
        <f t="array" ref="O44">SUMPRODUCT(--(O38:O43))</f>
        <v>4</v>
      </c>
      <c r="P44" s="64" cm="1">
        <f t="array" ref="P44">SUMPRODUCT(--(P38:P43))</f>
        <v>727</v>
      </c>
      <c r="Q44" s="64">
        <f>SUM(Q38:Q43)</f>
        <v>1</v>
      </c>
      <c r="R44" s="64">
        <f>SUM(R38:R43)</f>
        <v>0</v>
      </c>
      <c r="T44" s="79"/>
    </row>
    <row r="45" spans="1:20" s="2" customFormat="true" ht="17.4" customHeight="true">
      <c r="A45" s="28"/>
      <c r="B45" s="29"/>
      <c r="C45" s="29"/>
      <c r="D45" s="29"/>
      <c r="E45" s="29"/>
      <c r="F45" s="29"/>
      <c r="G45" s="29"/>
      <c r="H45" s="29"/>
      <c r="I45" s="29"/>
      <c r="J45" s="29"/>
      <c r="K45" s="29"/>
      <c r="L45" s="29"/>
      <c r="M45" s="29"/>
      <c r="N45" s="29"/>
      <c r="O45" s="29"/>
      <c r="P45" s="29"/>
      <c r="T45" s="79"/>
    </row>
    <row r="46" spans="1:20" s="1" customFormat="true" ht="10.95" customHeight="true">
      <c r="A46" s="7" t="s">
        <v>3</v>
      </c>
      <c r="B46" s="30" t="s">
        <v>4</v>
      </c>
      <c r="C46" s="30" t="s">
        <v>5</v>
      </c>
      <c r="D46" s="30" t="s">
        <v>6</v>
      </c>
      <c r="E46" s="30"/>
      <c r="F46" s="30"/>
      <c r="G46" s="30" t="s">
        <v>9</v>
      </c>
      <c r="H46" s="30"/>
      <c r="I46" s="7" t="s">
        <v>10</v>
      </c>
      <c r="J46" s="7" t="s">
        <v>11</v>
      </c>
      <c r="K46" s="8" t="s">
        <v>12</v>
      </c>
      <c r="L46" s="9"/>
      <c r="M46" s="7" t="s">
        <v>11</v>
      </c>
      <c r="N46" s="52" t="s">
        <v>13</v>
      </c>
      <c r="O46" s="52"/>
      <c r="P46" s="9"/>
      <c r="Q46" s="9" t="s">
        <v>14</v>
      </c>
      <c r="R46" s="9" t="s">
        <v>15</v>
      </c>
      <c r="T46" s="78"/>
    </row>
    <row r="47" spans="1:20" s="1" customFormat="true" ht="16.05" customHeight="true">
      <c r="A47" s="10"/>
      <c r="B47" s="30"/>
      <c r="C47" s="30"/>
      <c r="D47" s="30"/>
      <c r="E47" s="30"/>
      <c r="F47" s="30"/>
      <c r="G47" s="30"/>
      <c r="H47" s="30"/>
      <c r="I47" s="10"/>
      <c r="J47" s="10"/>
      <c r="K47" s="14"/>
      <c r="L47" s="15"/>
      <c r="M47" s="10"/>
      <c r="N47" s="53"/>
      <c r="O47" s="53"/>
      <c r="P47" s="15"/>
      <c r="Q47" s="15"/>
      <c r="R47" s="15"/>
      <c r="T47" s="78"/>
    </row>
    <row r="48" spans="1:20" s="1" customFormat="true" ht="28.95" customHeight="true">
      <c r="A48" s="13"/>
      <c r="B48" s="30"/>
      <c r="C48" s="30"/>
      <c r="D48" s="30"/>
      <c r="E48" s="30"/>
      <c r="F48" s="30"/>
      <c r="G48" s="30"/>
      <c r="H48" s="30"/>
      <c r="I48" s="13"/>
      <c r="J48" s="13"/>
      <c r="K48" s="54" t="s">
        <v>16</v>
      </c>
      <c r="L48" s="55" t="s">
        <v>17</v>
      </c>
      <c r="M48" s="13"/>
      <c r="N48" s="55" t="s">
        <v>18</v>
      </c>
      <c r="O48" s="55" t="s">
        <v>19</v>
      </c>
      <c r="P48" s="55" t="s">
        <v>20</v>
      </c>
      <c r="Q48" s="55" t="s">
        <v>21</v>
      </c>
      <c r="R48" s="55" t="s">
        <v>22</v>
      </c>
      <c r="T48" s="78"/>
    </row>
    <row r="49" spans="1:20" s="2" customFormat="true" ht="13.95" customHeight="true">
      <c r="A49" s="16">
        <v>5</v>
      </c>
      <c r="B49" s="17" t="str">
        <f>=DISPIMG("ID_364EF1C95B00495C9093B7BFC2CBAE57",1)</f>
        <v>=DISPIMG("ID_364EF1C95B00495C9093B7BFC2CBAE57",1)</v>
      </c>
      <c r="C49" s="18" t="s">
        <v>136</v>
      </c>
      <c r="D49" s="18" t="s">
        <v>131</v>
      </c>
      <c r="E49" s="20"/>
      <c r="F49" s="20"/>
      <c r="G49" s="20" t="s">
        <v>116</v>
      </c>
      <c r="H49" s="21" t="str">
        <f>=DISPIMG("ID_04B25B1976CB4B638F7D4B32987DB93D",1)</f>
        <v>=DISPIMG("ID_04B25B1976CB4B638F7D4B32987DB93D",1)</v>
      </c>
      <c r="I49" s="86">
        <v>18.395</v>
      </c>
      <c r="J49" s="57" t="s">
        <v>26</v>
      </c>
      <c r="K49" s="23">
        <v>0</v>
      </c>
      <c r="L49" s="58">
        <f>I49*K49</f>
        <v>0</v>
      </c>
      <c r="M49" s="57" t="s">
        <v>26</v>
      </c>
      <c r="N49" s="23">
        <v>0</v>
      </c>
      <c r="O49" s="23">
        <f>K49-P49</f>
        <v>0</v>
      </c>
      <c r="P49" s="23">
        <v>0</v>
      </c>
      <c r="Q49" s="23"/>
      <c r="R49" s="23"/>
      <c r="T49" s="79"/>
    </row>
    <row r="50" spans="1:20" s="2" customFormat="true">
      <c r="A50" s="16"/>
      <c r="B50" s="16"/>
      <c r="C50" s="22"/>
      <c r="D50" s="22"/>
      <c r="E50" s="20"/>
      <c r="F50" s="20"/>
      <c r="G50" s="20"/>
      <c r="H50" s="21"/>
      <c r="I50" s="87"/>
      <c r="J50" s="57" t="s">
        <v>27</v>
      </c>
      <c r="K50" s="23">
        <v>230</v>
      </c>
      <c r="L50" s="58">
        <f>I49*K50</f>
        <v>4230.85</v>
      </c>
      <c r="M50" s="57" t="s">
        <v>27</v>
      </c>
      <c r="N50" s="23">
        <v>0</v>
      </c>
      <c r="O50" s="23">
        <v>3</v>
      </c>
      <c r="P50" s="23">
        <f t="shared" ref="P50:P53" si="4">MAX(0,K50-O50)</f>
        <v>227</v>
      </c>
      <c r="Q50" s="23">
        <v>0</v>
      </c>
      <c r="R50" s="23"/>
      <c r="T50" s="79"/>
    </row>
    <row r="51" spans="1:20" s="2" customFormat="true">
      <c r="A51" s="16"/>
      <c r="B51" s="16"/>
      <c r="C51" s="22"/>
      <c r="D51" s="22"/>
      <c r="E51" s="20"/>
      <c r="F51" s="20"/>
      <c r="G51" s="20"/>
      <c r="H51" s="21"/>
      <c r="I51" s="87"/>
      <c r="J51" s="57" t="s">
        <v>28</v>
      </c>
      <c r="K51" s="23">
        <v>294</v>
      </c>
      <c r="L51" s="58">
        <f>I49*K51</f>
        <v>5408.13</v>
      </c>
      <c r="M51" s="57" t="s">
        <v>28</v>
      </c>
      <c r="N51" s="23">
        <v>0</v>
      </c>
      <c r="O51" s="23">
        <v>2</v>
      </c>
      <c r="P51" s="23">
        <f t="shared" si="4"/>
        <v>292</v>
      </c>
      <c r="Q51" s="23">
        <v>0</v>
      </c>
      <c r="R51" s="23"/>
      <c r="T51" s="79"/>
    </row>
    <row r="52" spans="1:20" s="2" customFormat="true">
      <c r="A52" s="16"/>
      <c r="B52" s="16"/>
      <c r="C52" s="22"/>
      <c r="D52" s="22"/>
      <c r="E52" s="20"/>
      <c r="F52" s="20"/>
      <c r="G52" s="20"/>
      <c r="H52" s="21"/>
      <c r="I52" s="87"/>
      <c r="J52" s="57" t="s">
        <v>29</v>
      </c>
      <c r="K52" s="23">
        <v>290</v>
      </c>
      <c r="L52" s="58">
        <f>I49*K52</f>
        <v>5334.55</v>
      </c>
      <c r="M52" s="57" t="s">
        <v>29</v>
      </c>
      <c r="N52" s="23">
        <v>0</v>
      </c>
      <c r="O52" s="23">
        <v>4</v>
      </c>
      <c r="P52" s="23">
        <f t="shared" si="4"/>
        <v>286</v>
      </c>
      <c r="Q52" s="23">
        <v>1</v>
      </c>
      <c r="R52" s="23"/>
      <c r="T52" s="79"/>
    </row>
    <row r="53" spans="1:20" s="2" customFormat="true">
      <c r="A53" s="16"/>
      <c r="B53" s="16"/>
      <c r="C53" s="22"/>
      <c r="D53" s="22"/>
      <c r="E53" s="20"/>
      <c r="F53" s="20"/>
      <c r="G53" s="20"/>
      <c r="H53" s="21"/>
      <c r="I53" s="87"/>
      <c r="J53" s="57" t="s">
        <v>30</v>
      </c>
      <c r="K53" s="23">
        <v>211</v>
      </c>
      <c r="L53" s="58">
        <f>I49*K53</f>
        <v>3881.345</v>
      </c>
      <c r="M53" s="57" t="s">
        <v>30</v>
      </c>
      <c r="N53" s="23">
        <v>0</v>
      </c>
      <c r="O53" s="23">
        <v>4</v>
      </c>
      <c r="P53" s="23">
        <f t="shared" si="4"/>
        <v>207</v>
      </c>
      <c r="Q53" s="23">
        <v>0</v>
      </c>
      <c r="R53" s="23"/>
      <c r="T53" s="79"/>
    </row>
    <row r="54" spans="1:20" s="2" customFormat="true">
      <c r="A54" s="16"/>
      <c r="B54" s="16"/>
      <c r="C54" s="22"/>
      <c r="D54" s="22"/>
      <c r="E54" s="20"/>
      <c r="F54" s="20"/>
      <c r="G54" s="20"/>
      <c r="H54" s="21"/>
      <c r="I54" s="88"/>
      <c r="J54" s="23" t="s">
        <v>31</v>
      </c>
      <c r="K54" s="23">
        <v>0</v>
      </c>
      <c r="L54" s="58">
        <f>I49*K54</f>
        <v>0</v>
      </c>
      <c r="M54" s="23" t="s">
        <v>31</v>
      </c>
      <c r="N54" s="23">
        <v>0</v>
      </c>
      <c r="O54" s="23">
        <f>K54-P54</f>
        <v>0</v>
      </c>
      <c r="P54" s="23">
        <v>0</v>
      </c>
      <c r="Q54" s="23"/>
      <c r="R54" s="23"/>
      <c r="T54" s="79"/>
    </row>
    <row r="55" spans="1:20" s="2" customFormat="true">
      <c r="A55" s="24"/>
      <c r="B55" s="24"/>
      <c r="C55" s="25"/>
      <c r="D55" s="25"/>
      <c r="E55" s="26"/>
      <c r="F55" s="26"/>
      <c r="G55" s="26"/>
      <c r="H55" s="27"/>
      <c r="I55" s="62"/>
      <c r="J55" s="61" t="s">
        <v>32</v>
      </c>
      <c r="K55" s="62">
        <f>SUM(K49:K54)</f>
        <v>1025</v>
      </c>
      <c r="L55" s="63">
        <f>SUM(L49:L54)</f>
        <v>18854.875</v>
      </c>
      <c r="M55" s="61" t="s">
        <v>32</v>
      </c>
      <c r="N55" s="62" cm="1">
        <f t="array" ref="N55">SUMPRODUCT(--(N49:N54))</f>
        <v>0</v>
      </c>
      <c r="O55" s="62" cm="1">
        <f t="array" ref="O55">SUMPRODUCT(--(O49:O54))</f>
        <v>13</v>
      </c>
      <c r="P55" s="64" cm="1">
        <f t="array" ref="P55">SUMPRODUCT(--(P49:P54))</f>
        <v>1012</v>
      </c>
      <c r="Q55" s="64">
        <f>SUM(Q49:Q54)</f>
        <v>1</v>
      </c>
      <c r="R55" s="64">
        <f>SUM(R49:R54)</f>
        <v>0</v>
      </c>
      <c r="T55" s="79"/>
    </row>
    <row r="56" spans="1:20" s="2" customFormat="true" ht="17.4" customHeight="true">
      <c r="A56" s="28"/>
      <c r="B56" s="29"/>
      <c r="C56" s="29"/>
      <c r="D56" s="29"/>
      <c r="E56" s="29"/>
      <c r="F56" s="29"/>
      <c r="G56" s="29"/>
      <c r="H56" s="29"/>
      <c r="I56" s="29"/>
      <c r="J56" s="29"/>
      <c r="K56" s="29"/>
      <c r="L56" s="29"/>
      <c r="M56" s="29"/>
      <c r="N56" s="29"/>
      <c r="O56" s="29"/>
      <c r="P56" s="29"/>
      <c r="Q56" s="29"/>
      <c r="R56" s="29"/>
      <c r="T56" s="79"/>
    </row>
    <row r="57" spans="1:20" s="1" customFormat="true" ht="10.95" customHeight="true">
      <c r="A57" s="7" t="s">
        <v>3</v>
      </c>
      <c r="B57" s="30" t="s">
        <v>4</v>
      </c>
      <c r="C57" s="30" t="s">
        <v>5</v>
      </c>
      <c r="D57" s="30" t="s">
        <v>6</v>
      </c>
      <c r="E57" s="30"/>
      <c r="F57" s="30"/>
      <c r="G57" s="30" t="s">
        <v>9</v>
      </c>
      <c r="H57" s="30"/>
      <c r="I57" s="7" t="s">
        <v>10</v>
      </c>
      <c r="J57" s="7" t="s">
        <v>11</v>
      </c>
      <c r="K57" s="8" t="s">
        <v>12</v>
      </c>
      <c r="L57" s="9"/>
      <c r="M57" s="7" t="s">
        <v>11</v>
      </c>
      <c r="N57" s="52" t="s">
        <v>13</v>
      </c>
      <c r="O57" s="52"/>
      <c r="P57" s="9"/>
      <c r="Q57" s="9" t="s">
        <v>14</v>
      </c>
      <c r="R57" s="9" t="s">
        <v>15</v>
      </c>
      <c r="T57" s="78"/>
    </row>
    <row r="58" spans="1:20" s="1" customFormat="true" ht="16.05" customHeight="true">
      <c r="A58" s="10"/>
      <c r="B58" s="30"/>
      <c r="C58" s="30"/>
      <c r="D58" s="30"/>
      <c r="E58" s="30"/>
      <c r="F58" s="30"/>
      <c r="G58" s="30"/>
      <c r="H58" s="30"/>
      <c r="I58" s="10"/>
      <c r="J58" s="10"/>
      <c r="K58" s="14"/>
      <c r="L58" s="15"/>
      <c r="M58" s="10"/>
      <c r="N58" s="53"/>
      <c r="O58" s="53"/>
      <c r="P58" s="15"/>
      <c r="Q58" s="15"/>
      <c r="R58" s="15"/>
      <c r="T58" s="78"/>
    </row>
    <row r="59" spans="1:20" s="1" customFormat="true" ht="17.4">
      <c r="A59" s="13"/>
      <c r="B59" s="30"/>
      <c r="C59" s="30"/>
      <c r="D59" s="30"/>
      <c r="E59" s="30"/>
      <c r="F59" s="30"/>
      <c r="G59" s="30"/>
      <c r="H59" s="30"/>
      <c r="I59" s="13"/>
      <c r="J59" s="13"/>
      <c r="K59" s="54" t="s">
        <v>16</v>
      </c>
      <c r="L59" s="55" t="s">
        <v>17</v>
      </c>
      <c r="M59" s="13"/>
      <c r="N59" s="55" t="s">
        <v>18</v>
      </c>
      <c r="O59" s="55" t="s">
        <v>19</v>
      </c>
      <c r="P59" s="55" t="s">
        <v>20</v>
      </c>
      <c r="Q59" s="55" t="s">
        <v>21</v>
      </c>
      <c r="R59" s="55" t="s">
        <v>22</v>
      </c>
      <c r="T59" s="78"/>
    </row>
    <row r="60" spans="1:20" s="2" customFormat="true" ht="13.95" customHeight="true">
      <c r="A60" s="16">
        <v>6</v>
      </c>
      <c r="B60" s="17" t="str">
        <f>=DISPIMG("ID_DA37647EC2924CF6A9083492139F6601",1)</f>
        <v>=DISPIMG("ID_DA37647EC2924CF6A9083492139F6601",1)</v>
      </c>
      <c r="C60" s="18" t="s">
        <v>137</v>
      </c>
      <c r="D60" s="18" t="s">
        <v>131</v>
      </c>
      <c r="E60" s="20"/>
      <c r="F60" s="20"/>
      <c r="G60" s="20" t="s">
        <v>73</v>
      </c>
      <c r="H60" s="21" t="str">
        <f>=DISPIMG("ID_021EFD81FA2B45EA8A36C67B0D594CDD",1)</f>
        <v>=DISPIMG("ID_021EFD81FA2B45EA8A36C67B0D594CDD",1)</v>
      </c>
      <c r="I60" s="86">
        <v>18.395</v>
      </c>
      <c r="J60" s="57" t="s">
        <v>26</v>
      </c>
      <c r="K60" s="23">
        <v>0</v>
      </c>
      <c r="L60" s="58">
        <f>I60*K60</f>
        <v>0</v>
      </c>
      <c r="M60" s="57" t="s">
        <v>26</v>
      </c>
      <c r="N60" s="23">
        <v>0</v>
      </c>
      <c r="O60" s="23">
        <v>0</v>
      </c>
      <c r="P60" s="23">
        <v>0</v>
      </c>
      <c r="Q60" s="23"/>
      <c r="R60" s="23"/>
      <c r="T60" s="79"/>
    </row>
    <row r="61" spans="1:20" s="2" customFormat="true">
      <c r="A61" s="16"/>
      <c r="B61" s="16"/>
      <c r="C61" s="22"/>
      <c r="D61" s="22"/>
      <c r="E61" s="20"/>
      <c r="F61" s="20"/>
      <c r="G61" s="20"/>
      <c r="H61" s="21"/>
      <c r="I61" s="87"/>
      <c r="J61" s="57" t="s">
        <v>27</v>
      </c>
      <c r="K61" s="23">
        <v>194</v>
      </c>
      <c r="L61" s="58">
        <f>I60*K61</f>
        <v>3568.63</v>
      </c>
      <c r="M61" s="57" t="s">
        <v>27</v>
      </c>
      <c r="N61" s="23">
        <v>0</v>
      </c>
      <c r="O61" s="23">
        <v>3</v>
      </c>
      <c r="P61" s="23">
        <f t="shared" ref="P61:P64" si="5">MAX(0,K61-O61)</f>
        <v>191</v>
      </c>
      <c r="Q61" s="23">
        <v>0</v>
      </c>
      <c r="R61" s="23"/>
      <c r="T61" s="79"/>
    </row>
    <row r="62" spans="1:20" s="2" customFormat="true">
      <c r="A62" s="16"/>
      <c r="B62" s="16"/>
      <c r="C62" s="22"/>
      <c r="D62" s="22"/>
      <c r="E62" s="20"/>
      <c r="F62" s="20"/>
      <c r="G62" s="20"/>
      <c r="H62" s="21"/>
      <c r="I62" s="87"/>
      <c r="J62" s="57" t="s">
        <v>28</v>
      </c>
      <c r="K62" s="23">
        <v>202</v>
      </c>
      <c r="L62" s="58">
        <f>I60*K62</f>
        <v>3715.79</v>
      </c>
      <c r="M62" s="57" t="s">
        <v>28</v>
      </c>
      <c r="N62" s="23">
        <v>0</v>
      </c>
      <c r="O62" s="23">
        <v>1</v>
      </c>
      <c r="P62" s="23">
        <f t="shared" si="5"/>
        <v>201</v>
      </c>
      <c r="Q62" s="23">
        <v>0</v>
      </c>
      <c r="R62" s="23"/>
      <c r="T62" s="79"/>
    </row>
    <row r="63" spans="1:20" s="2" customFormat="true">
      <c r="A63" s="16"/>
      <c r="B63" s="16"/>
      <c r="C63" s="22"/>
      <c r="D63" s="22"/>
      <c r="E63" s="20"/>
      <c r="F63" s="20"/>
      <c r="G63" s="20"/>
      <c r="H63" s="21"/>
      <c r="I63" s="87"/>
      <c r="J63" s="57" t="s">
        <v>29</v>
      </c>
      <c r="K63" s="23">
        <v>237</v>
      </c>
      <c r="L63" s="58">
        <f>I60*K63</f>
        <v>4359.615</v>
      </c>
      <c r="M63" s="57" t="s">
        <v>29</v>
      </c>
      <c r="N63" s="23">
        <v>0</v>
      </c>
      <c r="O63" s="23">
        <v>2</v>
      </c>
      <c r="P63" s="23">
        <f t="shared" si="5"/>
        <v>235</v>
      </c>
      <c r="Q63" s="23">
        <v>0</v>
      </c>
      <c r="R63" s="23"/>
      <c r="T63" s="79"/>
    </row>
    <row r="64" spans="1:20" s="2" customFormat="true">
      <c r="A64" s="16"/>
      <c r="B64" s="16"/>
      <c r="C64" s="22"/>
      <c r="D64" s="22"/>
      <c r="E64" s="20"/>
      <c r="F64" s="20"/>
      <c r="G64" s="20"/>
      <c r="H64" s="21"/>
      <c r="I64" s="87"/>
      <c r="J64" s="57" t="s">
        <v>30</v>
      </c>
      <c r="K64" s="23">
        <v>161</v>
      </c>
      <c r="L64" s="58">
        <f>I60*K64</f>
        <v>2961.595</v>
      </c>
      <c r="M64" s="57" t="s">
        <v>30</v>
      </c>
      <c r="N64" s="23">
        <v>0</v>
      </c>
      <c r="O64" s="23">
        <v>2</v>
      </c>
      <c r="P64" s="23">
        <f t="shared" si="5"/>
        <v>159</v>
      </c>
      <c r="Q64" s="23">
        <v>0</v>
      </c>
      <c r="R64" s="23"/>
      <c r="T64" s="79"/>
    </row>
    <row r="65" spans="1:20" s="2" customFormat="true">
      <c r="A65" s="16"/>
      <c r="B65" s="16"/>
      <c r="C65" s="22"/>
      <c r="D65" s="22"/>
      <c r="E65" s="20"/>
      <c r="F65" s="20"/>
      <c r="G65" s="20"/>
      <c r="H65" s="21"/>
      <c r="I65" s="88"/>
      <c r="J65" s="23" t="s">
        <v>31</v>
      </c>
      <c r="K65" s="23">
        <v>0</v>
      </c>
      <c r="L65" s="58">
        <f>I60*K65</f>
        <v>0</v>
      </c>
      <c r="M65" s="23" t="s">
        <v>31</v>
      </c>
      <c r="N65" s="23">
        <v>0</v>
      </c>
      <c r="O65" s="23">
        <v>0</v>
      </c>
      <c r="P65" s="23">
        <v>0</v>
      </c>
      <c r="Q65" s="23"/>
      <c r="R65" s="23"/>
      <c r="T65" s="79"/>
    </row>
    <row r="66" spans="1:20" s="2" customFormat="true">
      <c r="A66" s="24"/>
      <c r="B66" s="24"/>
      <c r="C66" s="25"/>
      <c r="D66" s="25"/>
      <c r="E66" s="26"/>
      <c r="F66" s="26"/>
      <c r="G66" s="26"/>
      <c r="H66" s="27"/>
      <c r="I66" s="62"/>
      <c r="J66" s="61" t="s">
        <v>32</v>
      </c>
      <c r="K66" s="62">
        <f>SUM(K60:K65)</f>
        <v>794</v>
      </c>
      <c r="L66" s="63">
        <f>SUM(L60:L65)</f>
        <v>14605.63</v>
      </c>
      <c r="M66" s="61" t="s">
        <v>32</v>
      </c>
      <c r="N66" s="62" cm="1">
        <f t="array" ref="N66">SUMPRODUCT(--(N60:N65))</f>
        <v>0</v>
      </c>
      <c r="O66" s="62" cm="1">
        <f t="array" ref="O66">SUMPRODUCT(--(O60:O65))</f>
        <v>8</v>
      </c>
      <c r="P66" s="64" cm="1">
        <f t="array" ref="P66">SUMPRODUCT(--(P60:P65))</f>
        <v>786</v>
      </c>
      <c r="Q66" s="64">
        <f>SUM(Q60:Q65)</f>
        <v>0</v>
      </c>
      <c r="R66" s="64">
        <f>SUM(R60:R65)</f>
        <v>0</v>
      </c>
      <c r="T66" s="79"/>
    </row>
    <row r="67" spans="1:18" s="3" customFormat="true">
      <c r="A67" s="4"/>
      <c r="B67" s="4"/>
      <c r="C67" s="31"/>
      <c r="D67" s="31"/>
      <c r="E67" s="31"/>
      <c r="F67" s="31"/>
      <c r="G67" s="31"/>
      <c r="H67" s="31"/>
      <c r="I67" s="65"/>
      <c r="J67" s="31"/>
      <c r="K67" s="65"/>
      <c r="L67" s="65"/>
      <c r="M67" s="31"/>
      <c r="N67" s="65"/>
      <c r="O67" s="65"/>
      <c r="P67" s="65"/>
      <c r="Q67" s="65"/>
      <c r="R67" s="65"/>
    </row>
    <row r="68" spans="1:20" s="1" customFormat="true" ht="10.95" customHeight="true">
      <c r="A68" s="7" t="s">
        <v>3</v>
      </c>
      <c r="B68" s="30" t="s">
        <v>4</v>
      </c>
      <c r="C68" s="30" t="s">
        <v>5</v>
      </c>
      <c r="D68" s="30" t="s">
        <v>6</v>
      </c>
      <c r="E68" s="30"/>
      <c r="F68" s="30"/>
      <c r="G68" s="30" t="s">
        <v>9</v>
      </c>
      <c r="H68" s="30"/>
      <c r="I68" s="7" t="s">
        <v>10</v>
      </c>
      <c r="J68" s="7" t="s">
        <v>11</v>
      </c>
      <c r="K68" s="8" t="s">
        <v>12</v>
      </c>
      <c r="L68" s="9"/>
      <c r="M68" s="7" t="s">
        <v>11</v>
      </c>
      <c r="N68" s="52" t="s">
        <v>13</v>
      </c>
      <c r="O68" s="52"/>
      <c r="P68" s="9"/>
      <c r="Q68" s="9" t="s">
        <v>14</v>
      </c>
      <c r="R68" s="9" t="s">
        <v>15</v>
      </c>
      <c r="T68" s="78"/>
    </row>
    <row r="69" spans="1:20" s="1" customFormat="true" ht="16.05" customHeight="true">
      <c r="A69" s="10"/>
      <c r="B69" s="30"/>
      <c r="C69" s="30"/>
      <c r="D69" s="30"/>
      <c r="E69" s="30"/>
      <c r="F69" s="30"/>
      <c r="G69" s="30"/>
      <c r="H69" s="30"/>
      <c r="I69" s="10"/>
      <c r="J69" s="10"/>
      <c r="K69" s="14"/>
      <c r="L69" s="15"/>
      <c r="M69" s="10"/>
      <c r="N69" s="53"/>
      <c r="O69" s="53"/>
      <c r="P69" s="15"/>
      <c r="Q69" s="15"/>
      <c r="R69" s="15"/>
      <c r="T69" s="78"/>
    </row>
    <row r="70" spans="1:20" s="1" customFormat="true" ht="17.4">
      <c r="A70" s="13"/>
      <c r="B70" s="30"/>
      <c r="C70" s="30"/>
      <c r="D70" s="30"/>
      <c r="E70" s="30"/>
      <c r="F70" s="30"/>
      <c r="G70" s="30"/>
      <c r="H70" s="30"/>
      <c r="I70" s="13"/>
      <c r="J70" s="13"/>
      <c r="K70" s="54" t="s">
        <v>16</v>
      </c>
      <c r="L70" s="55" t="s">
        <v>17</v>
      </c>
      <c r="M70" s="13"/>
      <c r="N70" s="55" t="s">
        <v>18</v>
      </c>
      <c r="O70" s="55" t="s">
        <v>19</v>
      </c>
      <c r="P70" s="55" t="s">
        <v>20</v>
      </c>
      <c r="Q70" s="55" t="s">
        <v>21</v>
      </c>
      <c r="R70" s="55" t="s">
        <v>22</v>
      </c>
      <c r="T70" s="78"/>
    </row>
    <row r="71" spans="1:20" s="2" customFormat="true" ht="13.95" customHeight="true">
      <c r="A71" s="16">
        <v>7</v>
      </c>
      <c r="B71" s="17" t="str">
        <f>=DISPIMG("ID_83C5FF87ADB24580A66D62DB364602D4",1)</f>
        <v>=DISPIMG("ID_83C5FF87ADB24580A66D62DB364602D4",1)</v>
      </c>
      <c r="C71" s="18" t="s">
        <v>138</v>
      </c>
      <c r="D71" s="18" t="s">
        <v>131</v>
      </c>
      <c r="E71" s="20"/>
      <c r="F71" s="20"/>
      <c r="G71" s="20" t="s">
        <v>119</v>
      </c>
      <c r="H71" s="21" t="str">
        <f>=DISPIMG("ID_5EE21F25C664481FBBF591910284FEE8",1)</f>
        <v>=DISPIMG("ID_5EE21F25C664481FBBF591910284FEE8",1)</v>
      </c>
      <c r="I71" s="86">
        <v>18.395</v>
      </c>
      <c r="J71" s="57" t="s">
        <v>26</v>
      </c>
      <c r="K71" s="23">
        <v>0</v>
      </c>
      <c r="L71" s="58">
        <f>I71*K71</f>
        <v>0</v>
      </c>
      <c r="M71" s="57" t="s">
        <v>26</v>
      </c>
      <c r="N71" s="23">
        <v>0</v>
      </c>
      <c r="O71" s="23">
        <v>0</v>
      </c>
      <c r="P71" s="23">
        <v>0</v>
      </c>
      <c r="Q71" s="23"/>
      <c r="R71" s="23"/>
      <c r="T71" s="79"/>
    </row>
    <row r="72" spans="1:20" s="2" customFormat="true">
      <c r="A72" s="16"/>
      <c r="B72" s="16"/>
      <c r="C72" s="22"/>
      <c r="D72" s="22"/>
      <c r="E72" s="20"/>
      <c r="F72" s="20"/>
      <c r="G72" s="20"/>
      <c r="H72" s="21"/>
      <c r="I72" s="87"/>
      <c r="J72" s="57" t="s">
        <v>27</v>
      </c>
      <c r="K72" s="23">
        <v>204</v>
      </c>
      <c r="L72" s="58">
        <f>I71*K72</f>
        <v>3752.58</v>
      </c>
      <c r="M72" s="57" t="s">
        <v>27</v>
      </c>
      <c r="N72" s="23">
        <v>0</v>
      </c>
      <c r="O72" s="23">
        <v>1</v>
      </c>
      <c r="P72" s="23">
        <f t="shared" ref="P72:P75" si="6">MAX(0,K72-O72)</f>
        <v>203</v>
      </c>
      <c r="Q72" s="23">
        <v>1</v>
      </c>
      <c r="R72" s="23"/>
      <c r="T72" s="79"/>
    </row>
    <row r="73" spans="1:20" s="2" customFormat="true">
      <c r="A73" s="16"/>
      <c r="B73" s="16"/>
      <c r="C73" s="22"/>
      <c r="D73" s="22"/>
      <c r="E73" s="20"/>
      <c r="F73" s="20"/>
      <c r="G73" s="20"/>
      <c r="H73" s="21"/>
      <c r="I73" s="87"/>
      <c r="J73" s="57" t="s">
        <v>28</v>
      </c>
      <c r="K73" s="23">
        <v>275</v>
      </c>
      <c r="L73" s="58">
        <f>I71*K73</f>
        <v>5058.625</v>
      </c>
      <c r="M73" s="57" t="s">
        <v>28</v>
      </c>
      <c r="N73" s="23">
        <v>0</v>
      </c>
      <c r="O73" s="23">
        <v>2</v>
      </c>
      <c r="P73" s="23">
        <f t="shared" si="6"/>
        <v>273</v>
      </c>
      <c r="Q73" s="23">
        <v>0</v>
      </c>
      <c r="R73" s="23"/>
      <c r="T73" s="79"/>
    </row>
    <row r="74" spans="1:20" s="2" customFormat="true">
      <c r="A74" s="16"/>
      <c r="B74" s="16"/>
      <c r="C74" s="22"/>
      <c r="D74" s="22"/>
      <c r="E74" s="20"/>
      <c r="F74" s="20"/>
      <c r="G74" s="20"/>
      <c r="H74" s="21"/>
      <c r="I74" s="87"/>
      <c r="J74" s="57" t="s">
        <v>29</v>
      </c>
      <c r="K74" s="23">
        <v>282</v>
      </c>
      <c r="L74" s="58">
        <f>I71*K74</f>
        <v>5187.39</v>
      </c>
      <c r="M74" s="57" t="s">
        <v>29</v>
      </c>
      <c r="N74" s="23">
        <v>1</v>
      </c>
      <c r="O74" s="23">
        <v>2</v>
      </c>
      <c r="P74" s="23">
        <f t="shared" si="6"/>
        <v>280</v>
      </c>
      <c r="Q74" s="23">
        <v>0</v>
      </c>
      <c r="R74" s="23"/>
      <c r="T74" s="79"/>
    </row>
    <row r="75" spans="1:20" s="2" customFormat="true">
      <c r="A75" s="16"/>
      <c r="B75" s="16"/>
      <c r="C75" s="22"/>
      <c r="D75" s="22"/>
      <c r="E75" s="20"/>
      <c r="F75" s="20"/>
      <c r="G75" s="20"/>
      <c r="H75" s="21"/>
      <c r="I75" s="87"/>
      <c r="J75" s="57" t="s">
        <v>30</v>
      </c>
      <c r="K75" s="23">
        <v>215</v>
      </c>
      <c r="L75" s="58">
        <f>I71*K75</f>
        <v>3954.925</v>
      </c>
      <c r="M75" s="57" t="s">
        <v>30</v>
      </c>
      <c r="N75" s="23">
        <v>0</v>
      </c>
      <c r="O75" s="23">
        <v>3</v>
      </c>
      <c r="P75" s="23">
        <f t="shared" si="6"/>
        <v>212</v>
      </c>
      <c r="Q75" s="23">
        <v>1</v>
      </c>
      <c r="R75" s="23"/>
      <c r="T75" s="79"/>
    </row>
    <row r="76" spans="1:20" s="2" customFormat="true">
      <c r="A76" s="16"/>
      <c r="B76" s="16"/>
      <c r="C76" s="22"/>
      <c r="D76" s="22"/>
      <c r="E76" s="20"/>
      <c r="F76" s="20"/>
      <c r="G76" s="20"/>
      <c r="H76" s="21"/>
      <c r="I76" s="88"/>
      <c r="J76" s="23" t="s">
        <v>31</v>
      </c>
      <c r="K76" s="23">
        <v>0</v>
      </c>
      <c r="L76" s="58">
        <f>I71*K76</f>
        <v>0</v>
      </c>
      <c r="M76" s="23" t="s">
        <v>31</v>
      </c>
      <c r="N76" s="23">
        <v>0</v>
      </c>
      <c r="O76" s="23">
        <v>0</v>
      </c>
      <c r="P76" s="23">
        <v>0</v>
      </c>
      <c r="Q76" s="23"/>
      <c r="R76" s="23"/>
      <c r="T76" s="79"/>
    </row>
    <row r="77" spans="1:20" s="2" customFormat="true">
      <c r="A77" s="24"/>
      <c r="B77" s="24"/>
      <c r="C77" s="25"/>
      <c r="D77" s="25"/>
      <c r="E77" s="26"/>
      <c r="F77" s="26"/>
      <c r="G77" s="26"/>
      <c r="H77" s="27"/>
      <c r="I77" s="62"/>
      <c r="J77" s="61" t="s">
        <v>32</v>
      </c>
      <c r="K77" s="62">
        <f>SUM(K71:K76)</f>
        <v>976</v>
      </c>
      <c r="L77" s="63">
        <f>SUM(L71:L76)</f>
        <v>17953.52</v>
      </c>
      <c r="M77" s="61" t="s">
        <v>32</v>
      </c>
      <c r="N77" s="62" cm="1">
        <f t="array" ref="N77">SUMPRODUCT(--(N71:N76))</f>
        <v>1</v>
      </c>
      <c r="O77" s="62" cm="1">
        <f t="array" ref="O77">SUMPRODUCT(--(O71:O76))</f>
        <v>8</v>
      </c>
      <c r="P77" s="64" cm="1">
        <f t="array" ref="P77">SUMPRODUCT(--(P71:P76))</f>
        <v>968</v>
      </c>
      <c r="Q77" s="64">
        <f>SUM(Q71:Q76)</f>
        <v>2</v>
      </c>
      <c r="R77" s="64">
        <f>SUM(R71:R76)</f>
        <v>0</v>
      </c>
      <c r="T77" s="79"/>
    </row>
    <row r="78" spans="1:18" s="3" customFormat="true">
      <c r="A78" s="4"/>
      <c r="B78" s="4"/>
      <c r="C78" s="31"/>
      <c r="D78" s="31"/>
      <c r="E78" s="31"/>
      <c r="F78" s="31"/>
      <c r="G78" s="31"/>
      <c r="H78" s="31"/>
      <c r="I78" s="65"/>
      <c r="J78" s="31"/>
      <c r="K78" s="65"/>
      <c r="L78" s="65"/>
      <c r="M78" s="31"/>
      <c r="N78" s="65"/>
      <c r="O78" s="65"/>
      <c r="P78" s="65"/>
      <c r="Q78" s="29"/>
      <c r="R78" s="29"/>
    </row>
    <row r="79" spans="1:20" s="1" customFormat="true" ht="10.95" customHeight="true">
      <c r="A79" s="7" t="s">
        <v>3</v>
      </c>
      <c r="B79" s="30" t="s">
        <v>4</v>
      </c>
      <c r="C79" s="30" t="s">
        <v>5</v>
      </c>
      <c r="D79" s="30" t="s">
        <v>6</v>
      </c>
      <c r="E79" s="30"/>
      <c r="F79" s="30"/>
      <c r="G79" s="30" t="s">
        <v>9</v>
      </c>
      <c r="H79" s="30"/>
      <c r="I79" s="7" t="s">
        <v>10</v>
      </c>
      <c r="J79" s="7" t="s">
        <v>11</v>
      </c>
      <c r="K79" s="8" t="s">
        <v>12</v>
      </c>
      <c r="L79" s="9"/>
      <c r="M79" s="7" t="s">
        <v>11</v>
      </c>
      <c r="N79" s="52" t="s">
        <v>13</v>
      </c>
      <c r="O79" s="52"/>
      <c r="P79" s="9"/>
      <c r="Q79" s="9" t="s">
        <v>14</v>
      </c>
      <c r="R79" s="9" t="s">
        <v>15</v>
      </c>
      <c r="T79" s="78"/>
    </row>
    <row r="80" spans="1:20" s="1" customFormat="true" ht="16.05" customHeight="true">
      <c r="A80" s="10"/>
      <c r="B80" s="30"/>
      <c r="C80" s="30"/>
      <c r="D80" s="30"/>
      <c r="E80" s="30"/>
      <c r="F80" s="30"/>
      <c r="G80" s="30"/>
      <c r="H80" s="30"/>
      <c r="I80" s="10"/>
      <c r="J80" s="10"/>
      <c r="K80" s="14"/>
      <c r="L80" s="15"/>
      <c r="M80" s="10"/>
      <c r="N80" s="53"/>
      <c r="O80" s="53"/>
      <c r="P80" s="15"/>
      <c r="Q80" s="15"/>
      <c r="R80" s="15"/>
      <c r="T80" s="78"/>
    </row>
    <row r="81" spans="1:20" s="1" customFormat="true" ht="17.4">
      <c r="A81" s="13"/>
      <c r="B81" s="30"/>
      <c r="C81" s="30"/>
      <c r="D81" s="30"/>
      <c r="E81" s="30"/>
      <c r="F81" s="30"/>
      <c r="G81" s="30"/>
      <c r="H81" s="30"/>
      <c r="I81" s="13"/>
      <c r="J81" s="13"/>
      <c r="K81" s="54" t="s">
        <v>16</v>
      </c>
      <c r="L81" s="55" t="s">
        <v>17</v>
      </c>
      <c r="M81" s="13"/>
      <c r="N81" s="55" t="s">
        <v>18</v>
      </c>
      <c r="O81" s="55" t="s">
        <v>19</v>
      </c>
      <c r="P81" s="55" t="s">
        <v>20</v>
      </c>
      <c r="Q81" s="55" t="s">
        <v>21</v>
      </c>
      <c r="R81" s="55" t="s">
        <v>22</v>
      </c>
      <c r="T81" s="78"/>
    </row>
    <row r="82" spans="1:20" s="2" customFormat="true" ht="13.95" customHeight="true">
      <c r="A82" s="16">
        <v>8</v>
      </c>
      <c r="B82" s="17" t="str">
        <f>=DISPIMG("ID_CE5784C68CFE4BECBEA4E09F9ADEC100",1)</f>
        <v>=DISPIMG("ID_CE5784C68CFE4BECBEA4E09F9ADEC100",1)</v>
      </c>
      <c r="C82" s="18" t="s">
        <v>139</v>
      </c>
      <c r="D82" s="18" t="s">
        <v>131</v>
      </c>
      <c r="E82" s="20"/>
      <c r="F82" s="20"/>
      <c r="G82" s="20" t="s">
        <v>36</v>
      </c>
      <c r="H82" s="21" t="str">
        <f>=DISPIMG("ID_53D4A5CD90274101B4E613F00196172E",1)</f>
        <v>=DISPIMG("ID_53D4A5CD90274101B4E613F00196172E",1)</v>
      </c>
      <c r="I82" s="86">
        <v>18.395</v>
      </c>
      <c r="J82" s="57" t="s">
        <v>26</v>
      </c>
      <c r="K82" s="23">
        <v>0</v>
      </c>
      <c r="L82" s="58">
        <f>I82*K82</f>
        <v>0</v>
      </c>
      <c r="M82" s="57" t="s">
        <v>26</v>
      </c>
      <c r="N82" s="23">
        <v>0</v>
      </c>
      <c r="O82" s="23">
        <v>0</v>
      </c>
      <c r="P82" s="23">
        <v>0</v>
      </c>
      <c r="Q82" s="23"/>
      <c r="R82" s="23"/>
      <c r="T82" s="79"/>
    </row>
    <row r="83" spans="1:20" s="2" customFormat="true">
      <c r="A83" s="16"/>
      <c r="B83" s="16"/>
      <c r="C83" s="22"/>
      <c r="D83" s="22"/>
      <c r="E83" s="20"/>
      <c r="F83" s="20"/>
      <c r="G83" s="20"/>
      <c r="H83" s="21"/>
      <c r="I83" s="87"/>
      <c r="J83" s="57" t="s">
        <v>27</v>
      </c>
      <c r="K83" s="23">
        <v>226</v>
      </c>
      <c r="L83" s="58">
        <f>I82*K83</f>
        <v>4157.27</v>
      </c>
      <c r="M83" s="57" t="s">
        <v>27</v>
      </c>
      <c r="N83" s="23">
        <v>0</v>
      </c>
      <c r="O83" s="23">
        <v>8</v>
      </c>
      <c r="P83" s="23">
        <f t="shared" ref="P83:P86" si="7">MAX(0,K83-O83)</f>
        <v>218</v>
      </c>
      <c r="Q83" s="23">
        <v>1</v>
      </c>
      <c r="R83" s="23"/>
      <c r="T83" s="79"/>
    </row>
    <row r="84" spans="1:20" s="2" customFormat="true">
      <c r="A84" s="16"/>
      <c r="B84" s="16"/>
      <c r="C84" s="22"/>
      <c r="D84" s="22"/>
      <c r="E84" s="20"/>
      <c r="F84" s="20"/>
      <c r="G84" s="20"/>
      <c r="H84" s="21"/>
      <c r="I84" s="87"/>
      <c r="J84" s="57" t="s">
        <v>28</v>
      </c>
      <c r="K84" s="23">
        <v>271</v>
      </c>
      <c r="L84" s="58">
        <f>I82*K84</f>
        <v>4985.045</v>
      </c>
      <c r="M84" s="57" t="s">
        <v>28</v>
      </c>
      <c r="N84" s="23">
        <v>0</v>
      </c>
      <c r="O84" s="23">
        <v>1</v>
      </c>
      <c r="P84" s="23">
        <f t="shared" si="7"/>
        <v>270</v>
      </c>
      <c r="Q84" s="23">
        <v>0</v>
      </c>
      <c r="R84" s="23"/>
      <c r="T84" s="79"/>
    </row>
    <row r="85" spans="1:20" s="2" customFormat="true">
      <c r="A85" s="16"/>
      <c r="B85" s="16"/>
      <c r="C85" s="22"/>
      <c r="D85" s="22"/>
      <c r="E85" s="20"/>
      <c r="F85" s="20"/>
      <c r="G85" s="20"/>
      <c r="H85" s="21"/>
      <c r="I85" s="87"/>
      <c r="J85" s="57" t="s">
        <v>29</v>
      </c>
      <c r="K85" s="23">
        <v>369</v>
      </c>
      <c r="L85" s="58">
        <f>I82*K85</f>
        <v>6787.755</v>
      </c>
      <c r="M85" s="57" t="s">
        <v>29</v>
      </c>
      <c r="N85" s="23">
        <v>0</v>
      </c>
      <c r="O85" s="23">
        <v>4</v>
      </c>
      <c r="P85" s="23">
        <f t="shared" si="7"/>
        <v>365</v>
      </c>
      <c r="Q85" s="23">
        <v>0</v>
      </c>
      <c r="R85" s="23"/>
      <c r="T85" s="79"/>
    </row>
    <row r="86" spans="1:20" s="2" customFormat="true">
      <c r="A86" s="16"/>
      <c r="B86" s="16"/>
      <c r="C86" s="22"/>
      <c r="D86" s="22"/>
      <c r="E86" s="20"/>
      <c r="F86" s="20"/>
      <c r="G86" s="20"/>
      <c r="H86" s="21"/>
      <c r="I86" s="87"/>
      <c r="J86" s="57" t="s">
        <v>30</v>
      </c>
      <c r="K86" s="23">
        <v>201</v>
      </c>
      <c r="L86" s="58">
        <f>I82*K86</f>
        <v>3697.395</v>
      </c>
      <c r="M86" s="57" t="s">
        <v>30</v>
      </c>
      <c r="N86" s="23">
        <v>0</v>
      </c>
      <c r="O86" s="23">
        <v>2</v>
      </c>
      <c r="P86" s="23">
        <f t="shared" si="7"/>
        <v>199</v>
      </c>
      <c r="Q86" s="23">
        <v>0</v>
      </c>
      <c r="R86" s="23"/>
      <c r="T86" s="79"/>
    </row>
    <row r="87" spans="1:20" s="2" customFormat="true">
      <c r="A87" s="16"/>
      <c r="B87" s="16"/>
      <c r="C87" s="22"/>
      <c r="D87" s="22"/>
      <c r="E87" s="20"/>
      <c r="F87" s="20"/>
      <c r="G87" s="20"/>
      <c r="H87" s="21"/>
      <c r="I87" s="88"/>
      <c r="J87" s="23" t="s">
        <v>31</v>
      </c>
      <c r="K87" s="23">
        <v>0</v>
      </c>
      <c r="L87" s="58">
        <f>I82*K87</f>
        <v>0</v>
      </c>
      <c r="M87" s="23" t="s">
        <v>31</v>
      </c>
      <c r="N87" s="23">
        <v>0</v>
      </c>
      <c r="O87" s="23">
        <v>0</v>
      </c>
      <c r="P87" s="23">
        <v>0</v>
      </c>
      <c r="Q87" s="23"/>
      <c r="R87" s="23"/>
      <c r="T87" s="79"/>
    </row>
    <row r="88" spans="1:20" s="2" customFormat="true">
      <c r="A88" s="24"/>
      <c r="B88" s="24"/>
      <c r="C88" s="25"/>
      <c r="D88" s="25"/>
      <c r="E88" s="26"/>
      <c r="F88" s="26"/>
      <c r="G88" s="26"/>
      <c r="H88" s="27"/>
      <c r="I88" s="62"/>
      <c r="J88" s="61" t="s">
        <v>32</v>
      </c>
      <c r="K88" s="62">
        <f>SUM(K82:K87)</f>
        <v>1067</v>
      </c>
      <c r="L88" s="63">
        <f>SUM(L82:L87)</f>
        <v>19627.465</v>
      </c>
      <c r="M88" s="61" t="s">
        <v>32</v>
      </c>
      <c r="N88" s="62" cm="1">
        <f t="array" ref="N88">SUMPRODUCT(--(N82:N87))</f>
        <v>0</v>
      </c>
      <c r="O88" s="62" cm="1">
        <f t="array" ref="O88">SUMPRODUCT(--(O82:O87))</f>
        <v>15</v>
      </c>
      <c r="P88" s="64" cm="1">
        <f t="array" ref="P88">SUMPRODUCT(--(P82:P87))</f>
        <v>1052</v>
      </c>
      <c r="Q88" s="64">
        <f>SUM(Q82:Q87)</f>
        <v>1</v>
      </c>
      <c r="R88" s="64">
        <f>SUM(R82:R87)</f>
        <v>0</v>
      </c>
      <c r="T88" s="79"/>
    </row>
    <row r="89" spans="1:16" s="3" customFormat="true">
      <c r="A89" s="4"/>
      <c r="B89" s="4"/>
      <c r="C89" s="31"/>
      <c r="D89" s="31"/>
      <c r="E89" s="31"/>
      <c r="F89" s="31"/>
      <c r="G89" s="31"/>
      <c r="H89" s="31"/>
      <c r="I89" s="65"/>
      <c r="J89" s="31"/>
      <c r="K89" s="65"/>
      <c r="L89" s="65"/>
      <c r="M89" s="31"/>
      <c r="N89" s="65"/>
      <c r="O89" s="65"/>
      <c r="P89" s="65"/>
    </row>
    <row r="90" spans="1:20" s="1" customFormat="true" ht="10.95" customHeight="true">
      <c r="A90" s="7" t="s">
        <v>3</v>
      </c>
      <c r="B90" s="30" t="s">
        <v>4</v>
      </c>
      <c r="C90" s="30" t="s">
        <v>5</v>
      </c>
      <c r="D90" s="30" t="s">
        <v>6</v>
      </c>
      <c r="E90" s="30"/>
      <c r="F90" s="30"/>
      <c r="G90" s="30" t="s">
        <v>9</v>
      </c>
      <c r="H90" s="30"/>
      <c r="I90" s="7" t="s">
        <v>10</v>
      </c>
      <c r="J90" s="7" t="s">
        <v>11</v>
      </c>
      <c r="K90" s="8" t="s">
        <v>12</v>
      </c>
      <c r="L90" s="9"/>
      <c r="M90" s="7" t="s">
        <v>11</v>
      </c>
      <c r="N90" s="52" t="s">
        <v>13</v>
      </c>
      <c r="O90" s="52"/>
      <c r="P90" s="9"/>
      <c r="Q90" s="9" t="s">
        <v>14</v>
      </c>
      <c r="R90" s="9" t="s">
        <v>15</v>
      </c>
      <c r="T90" s="78"/>
    </row>
    <row r="91" spans="1:20" s="1" customFormat="true" ht="16.05" customHeight="true">
      <c r="A91" s="10"/>
      <c r="B91" s="30"/>
      <c r="C91" s="30"/>
      <c r="D91" s="30"/>
      <c r="E91" s="30"/>
      <c r="F91" s="30"/>
      <c r="G91" s="30"/>
      <c r="H91" s="30"/>
      <c r="I91" s="10"/>
      <c r="J91" s="10"/>
      <c r="K91" s="14"/>
      <c r="L91" s="15"/>
      <c r="M91" s="10"/>
      <c r="N91" s="53"/>
      <c r="O91" s="53"/>
      <c r="P91" s="15"/>
      <c r="Q91" s="15"/>
      <c r="R91" s="15"/>
      <c r="T91" s="78"/>
    </row>
    <row r="92" spans="1:20" s="1" customFormat="true" ht="17.4">
      <c r="A92" s="13"/>
      <c r="B92" s="30"/>
      <c r="C92" s="30"/>
      <c r="D92" s="30"/>
      <c r="E92" s="30"/>
      <c r="F92" s="30"/>
      <c r="G92" s="30"/>
      <c r="H92" s="30"/>
      <c r="I92" s="13"/>
      <c r="J92" s="13"/>
      <c r="K92" s="54" t="s">
        <v>16</v>
      </c>
      <c r="L92" s="55" t="s">
        <v>17</v>
      </c>
      <c r="M92" s="13"/>
      <c r="N92" s="55" t="s">
        <v>18</v>
      </c>
      <c r="O92" s="55" t="s">
        <v>19</v>
      </c>
      <c r="P92" s="55" t="s">
        <v>20</v>
      </c>
      <c r="Q92" s="55" t="s">
        <v>21</v>
      </c>
      <c r="R92" s="55" t="s">
        <v>22</v>
      </c>
      <c r="T92" s="78"/>
    </row>
    <row r="93" spans="1:20" s="2" customFormat="true" ht="13.95" customHeight="true">
      <c r="A93" s="16">
        <v>9</v>
      </c>
      <c r="B93" s="17" t="str">
        <f>=DISPIMG("ID_ADC3AB8DF96646DEA395603FF73065C9",1)</f>
        <v>=DISPIMG("ID_ADC3AB8DF96646DEA395603FF73065C9",1)</v>
      </c>
      <c r="C93" s="18" t="s">
        <v>140</v>
      </c>
      <c r="D93" s="18" t="s">
        <v>131</v>
      </c>
      <c r="E93" s="20"/>
      <c r="F93" s="20"/>
      <c r="G93" s="20" t="s">
        <v>122</v>
      </c>
      <c r="H93" s="21" t="str">
        <f>=DISPIMG("ID_3EE87D35447F44378D3A913D98FD243B",1)</f>
        <v>=DISPIMG("ID_3EE87D35447F44378D3A913D98FD243B",1)</v>
      </c>
      <c r="I93" s="86">
        <v>18.395</v>
      </c>
      <c r="J93" s="57" t="s">
        <v>26</v>
      </c>
      <c r="K93" s="23">
        <v>0</v>
      </c>
      <c r="L93" s="58">
        <f>I93*K93</f>
        <v>0</v>
      </c>
      <c r="M93" s="57" t="s">
        <v>26</v>
      </c>
      <c r="N93" s="23">
        <v>0</v>
      </c>
      <c r="O93" s="23">
        <v>0</v>
      </c>
      <c r="P93" s="23">
        <v>0</v>
      </c>
      <c r="Q93" s="23"/>
      <c r="R93" s="23"/>
      <c r="T93" s="79"/>
    </row>
    <row r="94" spans="1:20" s="2" customFormat="true">
      <c r="A94" s="16"/>
      <c r="B94" s="16"/>
      <c r="C94" s="22"/>
      <c r="D94" s="22"/>
      <c r="E94" s="20"/>
      <c r="F94" s="20"/>
      <c r="G94" s="20"/>
      <c r="H94" s="21"/>
      <c r="I94" s="87"/>
      <c r="J94" s="57" t="s">
        <v>27</v>
      </c>
      <c r="K94" s="23">
        <v>30</v>
      </c>
      <c r="L94" s="58">
        <f>I93*K94</f>
        <v>551.85</v>
      </c>
      <c r="M94" s="57" t="s">
        <v>27</v>
      </c>
      <c r="N94" s="23">
        <v>0</v>
      </c>
      <c r="O94" s="23">
        <v>1</v>
      </c>
      <c r="P94" s="23">
        <f t="shared" ref="P94:P97" si="8">MAX(0,K94-O94)</f>
        <v>29</v>
      </c>
      <c r="Q94" s="23">
        <v>1</v>
      </c>
      <c r="R94" s="23"/>
      <c r="T94" s="79"/>
    </row>
    <row r="95" spans="1:20" s="2" customFormat="true">
      <c r="A95" s="16"/>
      <c r="B95" s="16"/>
      <c r="C95" s="22"/>
      <c r="D95" s="22"/>
      <c r="E95" s="20"/>
      <c r="F95" s="20"/>
      <c r="G95" s="20"/>
      <c r="H95" s="21"/>
      <c r="I95" s="87"/>
      <c r="J95" s="57" t="s">
        <v>28</v>
      </c>
      <c r="K95" s="23">
        <v>30</v>
      </c>
      <c r="L95" s="58">
        <f>I93*K95</f>
        <v>551.85</v>
      </c>
      <c r="M95" s="57" t="s">
        <v>28</v>
      </c>
      <c r="N95" s="23">
        <v>0</v>
      </c>
      <c r="O95" s="23">
        <v>0</v>
      </c>
      <c r="P95" s="23">
        <f t="shared" si="8"/>
        <v>30</v>
      </c>
      <c r="Q95" s="23">
        <v>0</v>
      </c>
      <c r="R95" s="23"/>
      <c r="T95" s="79"/>
    </row>
    <row r="96" spans="1:20" s="2" customFormat="true">
      <c r="A96" s="16"/>
      <c r="B96" s="16"/>
      <c r="C96" s="22"/>
      <c r="D96" s="22"/>
      <c r="E96" s="20"/>
      <c r="F96" s="20"/>
      <c r="G96" s="20"/>
      <c r="H96" s="21"/>
      <c r="I96" s="87"/>
      <c r="J96" s="57" t="s">
        <v>29</v>
      </c>
      <c r="K96" s="23">
        <v>30</v>
      </c>
      <c r="L96" s="58">
        <f>I93*K96</f>
        <v>551.85</v>
      </c>
      <c r="M96" s="57" t="s">
        <v>29</v>
      </c>
      <c r="N96" s="23">
        <v>0</v>
      </c>
      <c r="O96" s="23">
        <v>2</v>
      </c>
      <c r="P96" s="23">
        <f t="shared" si="8"/>
        <v>28</v>
      </c>
      <c r="Q96" s="23">
        <v>0</v>
      </c>
      <c r="R96" s="23"/>
      <c r="T96" s="79"/>
    </row>
    <row r="97" spans="1:20" s="2" customFormat="true">
      <c r="A97" s="16"/>
      <c r="B97" s="16"/>
      <c r="C97" s="22"/>
      <c r="D97" s="22"/>
      <c r="E97" s="20"/>
      <c r="F97" s="20"/>
      <c r="G97" s="20"/>
      <c r="H97" s="21"/>
      <c r="I97" s="87"/>
      <c r="J97" s="57" t="s">
        <v>30</v>
      </c>
      <c r="K97" s="23">
        <v>30</v>
      </c>
      <c r="L97" s="58">
        <f>I93*K97</f>
        <v>551.85</v>
      </c>
      <c r="M97" s="57" t="s">
        <v>30</v>
      </c>
      <c r="N97" s="23">
        <v>0</v>
      </c>
      <c r="O97" s="23">
        <v>3</v>
      </c>
      <c r="P97" s="23">
        <f t="shared" si="8"/>
        <v>27</v>
      </c>
      <c r="Q97" s="23">
        <v>1</v>
      </c>
      <c r="R97" s="23"/>
      <c r="T97" s="79"/>
    </row>
    <row r="98" spans="1:20" s="2" customFormat="true">
      <c r="A98" s="16"/>
      <c r="B98" s="16"/>
      <c r="C98" s="22"/>
      <c r="D98" s="22"/>
      <c r="E98" s="20"/>
      <c r="F98" s="20"/>
      <c r="G98" s="20"/>
      <c r="H98" s="21"/>
      <c r="I98" s="88"/>
      <c r="J98" s="23" t="s">
        <v>31</v>
      </c>
      <c r="K98" s="23">
        <v>0</v>
      </c>
      <c r="L98" s="58">
        <f>I93*K98</f>
        <v>0</v>
      </c>
      <c r="M98" s="23" t="s">
        <v>31</v>
      </c>
      <c r="N98" s="23">
        <v>1</v>
      </c>
      <c r="O98" s="23">
        <v>0</v>
      </c>
      <c r="P98" s="23">
        <v>0</v>
      </c>
      <c r="Q98" s="23"/>
      <c r="R98" s="23"/>
      <c r="T98" s="79"/>
    </row>
    <row r="99" spans="1:20" s="2" customFormat="true">
      <c r="A99" s="24"/>
      <c r="B99" s="24"/>
      <c r="C99" s="25"/>
      <c r="D99" s="25"/>
      <c r="E99" s="26"/>
      <c r="F99" s="26"/>
      <c r="G99" s="26"/>
      <c r="H99" s="27"/>
      <c r="I99" s="62"/>
      <c r="J99" s="61" t="s">
        <v>32</v>
      </c>
      <c r="K99" s="62">
        <f>SUM(K93:K98)</f>
        <v>120</v>
      </c>
      <c r="L99" s="63">
        <f>SUM(L93:L98)</f>
        <v>2207.4</v>
      </c>
      <c r="M99" s="61" t="s">
        <v>32</v>
      </c>
      <c r="N99" s="62" cm="1">
        <f t="array" ref="N99">SUMPRODUCT(--(N93:N98))</f>
        <v>1</v>
      </c>
      <c r="O99" s="62" cm="1">
        <f t="array" ref="O99">SUMPRODUCT(--(O93:O98))</f>
        <v>6</v>
      </c>
      <c r="P99" s="64" cm="1">
        <f t="array" ref="P99">SUMPRODUCT(--(P93:P98))</f>
        <v>114</v>
      </c>
      <c r="Q99" s="64">
        <f>SUM(Q93:Q98)</f>
        <v>2</v>
      </c>
      <c r="R99" s="64">
        <f>SUM(R93:R98)</f>
        <v>0</v>
      </c>
      <c r="T99" s="79"/>
    </row>
    <row r="100" spans="1:18" s="3" customFormat="true">
      <c r="A100" s="4"/>
      <c r="B100" s="4"/>
      <c r="C100" s="31"/>
      <c r="D100" s="31"/>
      <c r="E100" s="31"/>
      <c r="F100" s="31"/>
      <c r="G100" s="31"/>
      <c r="H100" s="31"/>
      <c r="I100" s="65"/>
      <c r="J100" s="31"/>
      <c r="K100" s="65"/>
      <c r="L100" s="65"/>
      <c r="M100" s="31"/>
      <c r="N100" s="65"/>
      <c r="O100" s="65"/>
      <c r="P100" s="65"/>
      <c r="Q100" s="29"/>
      <c r="R100" s="29"/>
    </row>
    <row r="101" spans="1:20" s="1" customFormat="true" ht="10.95" customHeight="true">
      <c r="A101" s="7" t="s">
        <v>3</v>
      </c>
      <c r="B101" s="30" t="s">
        <v>4</v>
      </c>
      <c r="C101" s="30" t="s">
        <v>5</v>
      </c>
      <c r="D101" s="30" t="s">
        <v>6</v>
      </c>
      <c r="E101" s="30"/>
      <c r="F101" s="30"/>
      <c r="G101" s="30" t="s">
        <v>9</v>
      </c>
      <c r="H101" s="30"/>
      <c r="I101" s="7" t="s">
        <v>10</v>
      </c>
      <c r="J101" s="7" t="s">
        <v>11</v>
      </c>
      <c r="K101" s="8" t="s">
        <v>12</v>
      </c>
      <c r="L101" s="9"/>
      <c r="M101" s="7" t="s">
        <v>11</v>
      </c>
      <c r="N101" s="52" t="s">
        <v>13</v>
      </c>
      <c r="O101" s="52"/>
      <c r="P101" s="9"/>
      <c r="Q101" s="9" t="s">
        <v>14</v>
      </c>
      <c r="R101" s="9" t="s">
        <v>15</v>
      </c>
      <c r="T101" s="78"/>
    </row>
    <row r="102" spans="1:20" s="1" customFormat="true" ht="16.05" customHeight="true">
      <c r="A102" s="10"/>
      <c r="B102" s="30"/>
      <c r="C102" s="30"/>
      <c r="D102" s="30"/>
      <c r="E102" s="30"/>
      <c r="F102" s="30"/>
      <c r="G102" s="30"/>
      <c r="H102" s="30"/>
      <c r="I102" s="10"/>
      <c r="J102" s="10"/>
      <c r="K102" s="14"/>
      <c r="L102" s="15"/>
      <c r="M102" s="10"/>
      <c r="N102" s="53"/>
      <c r="O102" s="53"/>
      <c r="P102" s="15"/>
      <c r="Q102" s="15"/>
      <c r="R102" s="15"/>
      <c r="T102" s="78"/>
    </row>
    <row r="103" spans="1:20" s="1" customFormat="true" ht="17.4">
      <c r="A103" s="13"/>
      <c r="B103" s="30"/>
      <c r="C103" s="30"/>
      <c r="D103" s="30"/>
      <c r="E103" s="30"/>
      <c r="F103" s="30"/>
      <c r="G103" s="30"/>
      <c r="H103" s="30"/>
      <c r="I103" s="13"/>
      <c r="J103" s="13"/>
      <c r="K103" s="54" t="s">
        <v>16</v>
      </c>
      <c r="L103" s="55" t="s">
        <v>17</v>
      </c>
      <c r="M103" s="13"/>
      <c r="N103" s="55" t="s">
        <v>18</v>
      </c>
      <c r="O103" s="55" t="s">
        <v>19</v>
      </c>
      <c r="P103" s="55" t="s">
        <v>20</v>
      </c>
      <c r="Q103" s="55" t="s">
        <v>21</v>
      </c>
      <c r="R103" s="55" t="s">
        <v>22</v>
      </c>
      <c r="T103" s="78"/>
    </row>
    <row r="104" spans="1:20" s="2" customFormat="true" ht="13.95" customHeight="true">
      <c r="A104" s="16">
        <v>10</v>
      </c>
      <c r="B104" s="17" t="str">
        <f>=DISPIMG("ID_1EDCE4AF3FDC4A5A8141E35E806A5B4E",1)</f>
        <v>=DISPIMG("ID_1EDCE4AF3FDC4A5A8141E35E806A5B4E",1)</v>
      </c>
      <c r="C104" s="18" t="s">
        <v>141</v>
      </c>
      <c r="D104" s="18" t="s">
        <v>131</v>
      </c>
      <c r="E104" s="20"/>
      <c r="F104" s="20"/>
      <c r="G104" s="20" t="s">
        <v>77</v>
      </c>
      <c r="H104" s="21" t="str">
        <f>=DISPIMG("ID_4456F94E3F214517B727DEB70DEB9335",1)</f>
        <v>=DISPIMG("ID_4456F94E3F214517B727DEB70DEB9335",1)</v>
      </c>
      <c r="I104" s="86">
        <v>18.395</v>
      </c>
      <c r="J104" s="57" t="s">
        <v>26</v>
      </c>
      <c r="K104" s="23">
        <v>0</v>
      </c>
      <c r="L104" s="58">
        <f>I104*K104</f>
        <v>0</v>
      </c>
      <c r="M104" s="57" t="s">
        <v>26</v>
      </c>
      <c r="N104" s="23">
        <v>0</v>
      </c>
      <c r="O104" s="23">
        <v>0</v>
      </c>
      <c r="P104" s="23">
        <v>0</v>
      </c>
      <c r="Q104" s="23"/>
      <c r="R104" s="23"/>
      <c r="T104" s="79"/>
    </row>
    <row r="105" spans="1:20" s="2" customFormat="true">
      <c r="A105" s="16"/>
      <c r="B105" s="16"/>
      <c r="C105" s="22"/>
      <c r="D105" s="22"/>
      <c r="E105" s="20"/>
      <c r="F105" s="20"/>
      <c r="G105" s="20"/>
      <c r="H105" s="21"/>
      <c r="I105" s="87"/>
      <c r="J105" s="57" t="s">
        <v>27</v>
      </c>
      <c r="K105" s="23">
        <v>30</v>
      </c>
      <c r="L105" s="58">
        <f>I104*K105</f>
        <v>551.85</v>
      </c>
      <c r="M105" s="57" t="s">
        <v>27</v>
      </c>
      <c r="N105" s="23">
        <v>0</v>
      </c>
      <c r="O105" s="23">
        <v>1</v>
      </c>
      <c r="P105" s="23">
        <f t="shared" ref="P105:P108" si="9">MAX(0,K105-O105)</f>
        <v>29</v>
      </c>
      <c r="Q105" s="23">
        <v>0</v>
      </c>
      <c r="R105" s="23"/>
      <c r="T105" s="79"/>
    </row>
    <row r="106" spans="1:20" s="2" customFormat="true">
      <c r="A106" s="16"/>
      <c r="B106" s="16"/>
      <c r="C106" s="22"/>
      <c r="D106" s="22"/>
      <c r="E106" s="20"/>
      <c r="F106" s="20"/>
      <c r="G106" s="20"/>
      <c r="H106" s="21"/>
      <c r="I106" s="87"/>
      <c r="J106" s="57" t="s">
        <v>28</v>
      </c>
      <c r="K106" s="23">
        <v>30</v>
      </c>
      <c r="L106" s="58">
        <f>I104*K106</f>
        <v>551.85</v>
      </c>
      <c r="M106" s="57" t="s">
        <v>28</v>
      </c>
      <c r="N106" s="23">
        <v>0</v>
      </c>
      <c r="O106" s="23">
        <v>1</v>
      </c>
      <c r="P106" s="23">
        <f t="shared" si="9"/>
        <v>29</v>
      </c>
      <c r="Q106" s="23">
        <v>0</v>
      </c>
      <c r="R106" s="23"/>
      <c r="T106" s="79"/>
    </row>
    <row r="107" spans="1:20" s="2" customFormat="true">
      <c r="A107" s="16"/>
      <c r="B107" s="16"/>
      <c r="C107" s="22"/>
      <c r="D107" s="22"/>
      <c r="E107" s="20"/>
      <c r="F107" s="20"/>
      <c r="G107" s="20"/>
      <c r="H107" s="21"/>
      <c r="I107" s="87"/>
      <c r="J107" s="57" t="s">
        <v>29</v>
      </c>
      <c r="K107" s="23">
        <v>30</v>
      </c>
      <c r="L107" s="58">
        <f>I104*K107</f>
        <v>551.85</v>
      </c>
      <c r="M107" s="57" t="s">
        <v>29</v>
      </c>
      <c r="N107" s="23">
        <v>0</v>
      </c>
      <c r="O107" s="23">
        <v>2</v>
      </c>
      <c r="P107" s="23">
        <f t="shared" si="9"/>
        <v>28</v>
      </c>
      <c r="Q107" s="23">
        <v>0</v>
      </c>
      <c r="R107" s="23"/>
      <c r="T107" s="79"/>
    </row>
    <row r="108" spans="1:20" s="2" customFormat="true">
      <c r="A108" s="16"/>
      <c r="B108" s="16"/>
      <c r="C108" s="22"/>
      <c r="D108" s="22"/>
      <c r="E108" s="20"/>
      <c r="F108" s="20"/>
      <c r="G108" s="20"/>
      <c r="H108" s="21"/>
      <c r="I108" s="87"/>
      <c r="J108" s="57" t="s">
        <v>30</v>
      </c>
      <c r="K108" s="23">
        <v>30</v>
      </c>
      <c r="L108" s="58">
        <f>I104*K108</f>
        <v>551.85</v>
      </c>
      <c r="M108" s="57" t="s">
        <v>30</v>
      </c>
      <c r="N108" s="23">
        <v>0</v>
      </c>
      <c r="O108" s="23">
        <v>1</v>
      </c>
      <c r="P108" s="23">
        <f t="shared" si="9"/>
        <v>29</v>
      </c>
      <c r="Q108" s="23">
        <v>0</v>
      </c>
      <c r="R108" s="23"/>
      <c r="T108" s="79"/>
    </row>
    <row r="109" spans="1:20" s="2" customFormat="true">
      <c r="A109" s="16"/>
      <c r="B109" s="16"/>
      <c r="C109" s="22"/>
      <c r="D109" s="22"/>
      <c r="E109" s="20"/>
      <c r="F109" s="20"/>
      <c r="G109" s="20"/>
      <c r="H109" s="21"/>
      <c r="I109" s="88"/>
      <c r="J109" s="23" t="s">
        <v>31</v>
      </c>
      <c r="K109" s="23">
        <v>0</v>
      </c>
      <c r="L109" s="58">
        <f>I104*K109</f>
        <v>0</v>
      </c>
      <c r="M109" s="23" t="s">
        <v>31</v>
      </c>
      <c r="N109" s="23">
        <v>0</v>
      </c>
      <c r="O109" s="23">
        <v>0</v>
      </c>
      <c r="P109" s="23">
        <v>0</v>
      </c>
      <c r="Q109" s="23"/>
      <c r="R109" s="23"/>
      <c r="T109" s="79"/>
    </row>
    <row r="110" spans="1:20" s="2" customFormat="true">
      <c r="A110" s="24"/>
      <c r="B110" s="24"/>
      <c r="C110" s="25"/>
      <c r="D110" s="25"/>
      <c r="E110" s="26"/>
      <c r="F110" s="26"/>
      <c r="G110" s="26"/>
      <c r="H110" s="27"/>
      <c r="I110" s="62"/>
      <c r="J110" s="61" t="s">
        <v>32</v>
      </c>
      <c r="K110" s="62">
        <f>SUM(K104:K109)</f>
        <v>120</v>
      </c>
      <c r="L110" s="63">
        <f>SUM(L104:L109)</f>
        <v>2207.4</v>
      </c>
      <c r="M110" s="61" t="s">
        <v>32</v>
      </c>
      <c r="N110" s="62" cm="1">
        <f t="array" ref="N110">SUMPRODUCT(--(N104:N109))</f>
        <v>0</v>
      </c>
      <c r="O110" s="62" cm="1">
        <f t="array" ref="O110">SUMPRODUCT(--(O104:O109))</f>
        <v>5</v>
      </c>
      <c r="P110" s="64" cm="1">
        <f t="array" ref="P110">SUMPRODUCT(--(P104:P109))</f>
        <v>115</v>
      </c>
      <c r="Q110" s="64">
        <f>SUM(Q104:Q109)</f>
        <v>0</v>
      </c>
      <c r="R110" s="64">
        <f>SUM(R104:R109)</f>
        <v>0</v>
      </c>
      <c r="T110" s="79"/>
    </row>
    <row r="111" spans="1:18" s="3" customFormat="true">
      <c r="A111" s="4"/>
      <c r="B111" s="4"/>
      <c r="C111" s="31"/>
      <c r="D111" s="31"/>
      <c r="E111" s="31"/>
      <c r="F111" s="31"/>
      <c r="G111" s="31"/>
      <c r="H111" s="31"/>
      <c r="I111" s="65"/>
      <c r="J111" s="31"/>
      <c r="K111" s="65"/>
      <c r="L111" s="65"/>
      <c r="M111" s="31"/>
      <c r="N111" s="65"/>
      <c r="O111" s="65"/>
      <c r="P111" s="65"/>
      <c r="Q111" s="65"/>
      <c r="R111" s="65"/>
    </row>
    <row r="112" spans="1:20" s="1" customFormat="true" ht="10.95" customHeight="true">
      <c r="A112" s="7" t="s">
        <v>3</v>
      </c>
      <c r="B112" s="30" t="s">
        <v>4</v>
      </c>
      <c r="C112" s="30" t="s">
        <v>5</v>
      </c>
      <c r="D112" s="30" t="s">
        <v>6</v>
      </c>
      <c r="E112" s="30"/>
      <c r="F112" s="30"/>
      <c r="G112" s="30" t="s">
        <v>9</v>
      </c>
      <c r="H112" s="30"/>
      <c r="I112" s="7" t="s">
        <v>10</v>
      </c>
      <c r="J112" s="7" t="s">
        <v>11</v>
      </c>
      <c r="K112" s="8" t="s">
        <v>12</v>
      </c>
      <c r="L112" s="9"/>
      <c r="M112" s="7" t="s">
        <v>11</v>
      </c>
      <c r="N112" s="52" t="s">
        <v>13</v>
      </c>
      <c r="O112" s="52"/>
      <c r="P112" s="9"/>
      <c r="Q112" s="9" t="s">
        <v>14</v>
      </c>
      <c r="R112" s="9" t="s">
        <v>15</v>
      </c>
      <c r="T112" s="78"/>
    </row>
    <row r="113" spans="1:20" s="1" customFormat="true" ht="16.05" customHeight="true">
      <c r="A113" s="10"/>
      <c r="B113" s="30"/>
      <c r="C113" s="30"/>
      <c r="D113" s="30"/>
      <c r="E113" s="30"/>
      <c r="F113" s="30"/>
      <c r="G113" s="30"/>
      <c r="H113" s="30"/>
      <c r="I113" s="10"/>
      <c r="J113" s="10"/>
      <c r="K113" s="14"/>
      <c r="L113" s="15"/>
      <c r="M113" s="10"/>
      <c r="N113" s="53"/>
      <c r="O113" s="53"/>
      <c r="P113" s="15"/>
      <c r="Q113" s="15"/>
      <c r="R113" s="15"/>
      <c r="T113" s="78"/>
    </row>
    <row r="114" spans="1:20" s="1" customFormat="true" ht="17.4">
      <c r="A114" s="13"/>
      <c r="B114" s="30"/>
      <c r="C114" s="30"/>
      <c r="D114" s="30"/>
      <c r="E114" s="30"/>
      <c r="F114" s="30"/>
      <c r="G114" s="30"/>
      <c r="H114" s="30"/>
      <c r="I114" s="13"/>
      <c r="J114" s="13"/>
      <c r="K114" s="54" t="s">
        <v>16</v>
      </c>
      <c r="L114" s="55" t="s">
        <v>17</v>
      </c>
      <c r="M114" s="13"/>
      <c r="N114" s="55" t="s">
        <v>18</v>
      </c>
      <c r="O114" s="55" t="s">
        <v>19</v>
      </c>
      <c r="P114" s="55" t="s">
        <v>20</v>
      </c>
      <c r="Q114" s="55" t="s">
        <v>21</v>
      </c>
      <c r="R114" s="55" t="s">
        <v>22</v>
      </c>
      <c r="T114" s="78"/>
    </row>
    <row r="115" spans="1:20" s="2" customFormat="true" ht="13.95" customHeight="true">
      <c r="A115" s="16">
        <v>11</v>
      </c>
      <c r="B115" s="17" t="str">
        <f>=DISPIMG("ID_7797570A7C1845EC92C7659F10BC38B8",1)</f>
        <v>=DISPIMG("ID_7797570A7C1845EC92C7659F10BC38B8",1)</v>
      </c>
      <c r="C115" s="18" t="s">
        <v>142</v>
      </c>
      <c r="D115" s="18" t="s">
        <v>131</v>
      </c>
      <c r="E115" s="20"/>
      <c r="F115" s="20"/>
      <c r="G115" s="20" t="s">
        <v>91</v>
      </c>
      <c r="H115" s="21" t="str">
        <f>=DISPIMG("ID_7B1842C061FD46499E1C1D8E68BE5EC6",1)</f>
        <v>=DISPIMG("ID_7B1842C061FD46499E1C1D8E68BE5EC6",1)</v>
      </c>
      <c r="I115" s="86">
        <v>18.395</v>
      </c>
      <c r="J115" s="57" t="s">
        <v>26</v>
      </c>
      <c r="K115" s="23">
        <v>0</v>
      </c>
      <c r="L115" s="58">
        <f>I115*K115</f>
        <v>0</v>
      </c>
      <c r="M115" s="57" t="s">
        <v>26</v>
      </c>
      <c r="N115" s="23">
        <v>0</v>
      </c>
      <c r="O115" s="23">
        <v>0</v>
      </c>
      <c r="P115" s="23">
        <v>0</v>
      </c>
      <c r="Q115" s="23"/>
      <c r="R115" s="23"/>
      <c r="T115" s="79"/>
    </row>
    <row r="116" spans="1:20" s="2" customFormat="true">
      <c r="A116" s="16"/>
      <c r="B116" s="16"/>
      <c r="C116" s="22"/>
      <c r="D116" s="22"/>
      <c r="E116" s="20"/>
      <c r="F116" s="20"/>
      <c r="G116" s="20"/>
      <c r="H116" s="21"/>
      <c r="I116" s="87"/>
      <c r="J116" s="57" t="s">
        <v>27</v>
      </c>
      <c r="K116" s="23">
        <v>167</v>
      </c>
      <c r="L116" s="58">
        <f>I115*K116</f>
        <v>3071.965</v>
      </c>
      <c r="M116" s="57" t="s">
        <v>27</v>
      </c>
      <c r="N116" s="23">
        <v>0</v>
      </c>
      <c r="O116" s="23">
        <v>2</v>
      </c>
      <c r="P116" s="23">
        <f t="shared" ref="P116:P119" si="10">MAX(0,K116-O116)</f>
        <v>165</v>
      </c>
      <c r="Q116" s="23">
        <v>0</v>
      </c>
      <c r="R116" s="23"/>
      <c r="T116" s="79"/>
    </row>
    <row r="117" spans="1:20" s="2" customFormat="true">
      <c r="A117" s="16"/>
      <c r="B117" s="16"/>
      <c r="C117" s="22"/>
      <c r="D117" s="22"/>
      <c r="E117" s="20"/>
      <c r="F117" s="20"/>
      <c r="G117" s="20"/>
      <c r="H117" s="21"/>
      <c r="I117" s="87"/>
      <c r="J117" s="57" t="s">
        <v>28</v>
      </c>
      <c r="K117" s="23">
        <v>166</v>
      </c>
      <c r="L117" s="58">
        <f>I115*K117</f>
        <v>3053.57</v>
      </c>
      <c r="M117" s="57" t="s">
        <v>28</v>
      </c>
      <c r="N117" s="23">
        <v>0</v>
      </c>
      <c r="O117" s="23">
        <v>0</v>
      </c>
      <c r="P117" s="23">
        <f t="shared" si="10"/>
        <v>166</v>
      </c>
      <c r="Q117" s="23">
        <v>0</v>
      </c>
      <c r="R117" s="23"/>
      <c r="T117" s="79"/>
    </row>
    <row r="118" spans="1:20" s="2" customFormat="true">
      <c r="A118" s="16"/>
      <c r="B118" s="16"/>
      <c r="C118" s="22"/>
      <c r="D118" s="22"/>
      <c r="E118" s="20"/>
      <c r="F118" s="20"/>
      <c r="G118" s="20"/>
      <c r="H118" s="21"/>
      <c r="I118" s="87"/>
      <c r="J118" s="57" t="s">
        <v>29</v>
      </c>
      <c r="K118" s="23">
        <v>30</v>
      </c>
      <c r="L118" s="58">
        <f>I115*K118</f>
        <v>551.85</v>
      </c>
      <c r="M118" s="57" t="s">
        <v>29</v>
      </c>
      <c r="N118" s="23">
        <v>0</v>
      </c>
      <c r="O118" s="23">
        <v>1</v>
      </c>
      <c r="P118" s="23">
        <f t="shared" si="10"/>
        <v>29</v>
      </c>
      <c r="Q118" s="23">
        <v>0</v>
      </c>
      <c r="R118" s="23"/>
      <c r="T118" s="79"/>
    </row>
    <row r="119" spans="1:20" s="2" customFormat="true">
      <c r="A119" s="16"/>
      <c r="B119" s="16"/>
      <c r="C119" s="22"/>
      <c r="D119" s="22"/>
      <c r="E119" s="20"/>
      <c r="F119" s="20"/>
      <c r="G119" s="20"/>
      <c r="H119" s="21"/>
      <c r="I119" s="87"/>
      <c r="J119" s="57" t="s">
        <v>30</v>
      </c>
      <c r="K119" s="23">
        <v>30</v>
      </c>
      <c r="L119" s="58">
        <f>I115*K119</f>
        <v>551.85</v>
      </c>
      <c r="M119" s="57" t="s">
        <v>30</v>
      </c>
      <c r="N119" s="23">
        <v>0</v>
      </c>
      <c r="O119" s="23">
        <v>1</v>
      </c>
      <c r="P119" s="23">
        <f t="shared" si="10"/>
        <v>29</v>
      </c>
      <c r="Q119" s="23">
        <v>1</v>
      </c>
      <c r="R119" s="23"/>
      <c r="T119" s="79"/>
    </row>
    <row r="120" spans="1:20" s="2" customFormat="true">
      <c r="A120" s="16"/>
      <c r="B120" s="16"/>
      <c r="C120" s="22"/>
      <c r="D120" s="22"/>
      <c r="E120" s="20"/>
      <c r="F120" s="20"/>
      <c r="G120" s="20"/>
      <c r="H120" s="21"/>
      <c r="I120" s="88"/>
      <c r="J120" s="23" t="s">
        <v>31</v>
      </c>
      <c r="K120" s="23">
        <v>0</v>
      </c>
      <c r="L120" s="58">
        <f>I115*K120</f>
        <v>0</v>
      </c>
      <c r="M120" s="23" t="s">
        <v>31</v>
      </c>
      <c r="N120" s="23">
        <v>0</v>
      </c>
      <c r="O120" s="23">
        <v>0</v>
      </c>
      <c r="P120" s="23">
        <v>0</v>
      </c>
      <c r="Q120" s="23"/>
      <c r="R120" s="23"/>
      <c r="T120" s="79"/>
    </row>
    <row r="121" spans="1:20" s="2" customFormat="true">
      <c r="A121" s="24"/>
      <c r="B121" s="24"/>
      <c r="C121" s="25"/>
      <c r="D121" s="25"/>
      <c r="E121" s="26"/>
      <c r="F121" s="26"/>
      <c r="G121" s="26"/>
      <c r="H121" s="27"/>
      <c r="I121" s="62"/>
      <c r="J121" s="61" t="s">
        <v>32</v>
      </c>
      <c r="K121" s="62">
        <f>SUM(K115:K120)</f>
        <v>393</v>
      </c>
      <c r="L121" s="63">
        <f>SUM(L115:L120)</f>
        <v>7229.235</v>
      </c>
      <c r="M121" s="61" t="s">
        <v>32</v>
      </c>
      <c r="N121" s="62" cm="1">
        <f t="array" ref="N121">SUMPRODUCT(--(N115:N120))</f>
        <v>0</v>
      </c>
      <c r="O121" s="62" cm="1">
        <f t="array" ref="O121">SUMPRODUCT(--(O115:O120))</f>
        <v>4</v>
      </c>
      <c r="P121" s="64" cm="1">
        <f t="array" ref="P121">SUMPRODUCT(--(P115:P120))</f>
        <v>389</v>
      </c>
      <c r="Q121" s="64">
        <f>SUM(Q115:Q120)</f>
        <v>1</v>
      </c>
      <c r="R121" s="64">
        <f>SUM(R115:R120)</f>
        <v>0</v>
      </c>
      <c r="T121" s="79"/>
    </row>
    <row r="122" spans="1:18" s="3" customFormat="true">
      <c r="A122" s="4"/>
      <c r="B122" s="4"/>
      <c r="C122" s="31"/>
      <c r="D122" s="31"/>
      <c r="E122" s="31"/>
      <c r="F122" s="31"/>
      <c r="G122" s="31"/>
      <c r="H122" s="31"/>
      <c r="I122" s="65"/>
      <c r="J122" s="31"/>
      <c r="K122" s="65"/>
      <c r="L122" s="65"/>
      <c r="M122" s="31"/>
      <c r="N122" s="65"/>
      <c r="O122" s="65"/>
      <c r="P122" s="65"/>
      <c r="Q122" s="29"/>
      <c r="R122" s="29"/>
    </row>
    <row r="123" spans="1:20" s="1" customFormat="true" ht="10.95" customHeight="true">
      <c r="A123" s="7" t="s">
        <v>3</v>
      </c>
      <c r="B123" s="30" t="s">
        <v>4</v>
      </c>
      <c r="C123" s="30" t="s">
        <v>5</v>
      </c>
      <c r="D123" s="30" t="s">
        <v>6</v>
      </c>
      <c r="E123" s="30"/>
      <c r="F123" s="30"/>
      <c r="G123" s="30" t="s">
        <v>9</v>
      </c>
      <c r="H123" s="30"/>
      <c r="I123" s="7" t="s">
        <v>10</v>
      </c>
      <c r="J123" s="7" t="s">
        <v>11</v>
      </c>
      <c r="K123" s="8" t="s">
        <v>12</v>
      </c>
      <c r="L123" s="9"/>
      <c r="M123" s="7" t="s">
        <v>11</v>
      </c>
      <c r="N123" s="52" t="s">
        <v>13</v>
      </c>
      <c r="O123" s="52"/>
      <c r="P123" s="9"/>
      <c r="Q123" s="9" t="s">
        <v>14</v>
      </c>
      <c r="R123" s="9" t="s">
        <v>15</v>
      </c>
      <c r="T123" s="78"/>
    </row>
    <row r="124" spans="1:20" s="1" customFormat="true" ht="16.05" customHeight="true">
      <c r="A124" s="10"/>
      <c r="B124" s="30"/>
      <c r="C124" s="30"/>
      <c r="D124" s="30"/>
      <c r="E124" s="30"/>
      <c r="F124" s="30"/>
      <c r="G124" s="30"/>
      <c r="H124" s="30"/>
      <c r="I124" s="10"/>
      <c r="J124" s="10"/>
      <c r="K124" s="14"/>
      <c r="L124" s="15"/>
      <c r="M124" s="10"/>
      <c r="N124" s="53"/>
      <c r="O124" s="53"/>
      <c r="P124" s="15"/>
      <c r="Q124" s="15"/>
      <c r="R124" s="15"/>
      <c r="T124" s="78"/>
    </row>
    <row r="125" spans="1:20" s="1" customFormat="true" ht="17.4">
      <c r="A125" s="13"/>
      <c r="B125" s="30"/>
      <c r="C125" s="30"/>
      <c r="D125" s="30"/>
      <c r="E125" s="30"/>
      <c r="F125" s="30"/>
      <c r="G125" s="30"/>
      <c r="H125" s="30"/>
      <c r="I125" s="13"/>
      <c r="J125" s="13"/>
      <c r="K125" s="54" t="s">
        <v>16</v>
      </c>
      <c r="L125" s="55" t="s">
        <v>17</v>
      </c>
      <c r="M125" s="13"/>
      <c r="N125" s="55" t="s">
        <v>18</v>
      </c>
      <c r="O125" s="55" t="s">
        <v>19</v>
      </c>
      <c r="P125" s="55" t="s">
        <v>20</v>
      </c>
      <c r="Q125" s="55" t="s">
        <v>21</v>
      </c>
      <c r="R125" s="55" t="s">
        <v>22</v>
      </c>
      <c r="T125" s="78"/>
    </row>
    <row r="126" spans="1:20" s="2" customFormat="true" ht="13.95" customHeight="true">
      <c r="A126" s="16">
        <v>12</v>
      </c>
      <c r="B126" s="17" t="str">
        <f>=DISPIMG("ID_AF2460A9D84A4538AA8F3C3C34F3A217",1)</f>
        <v>=DISPIMG("ID_AF2460A9D84A4538AA8F3C3C34F3A217",1)</v>
      </c>
      <c r="C126" s="18" t="s">
        <v>143</v>
      </c>
      <c r="D126" s="18" t="s">
        <v>131</v>
      </c>
      <c r="E126" s="20"/>
      <c r="F126" s="20"/>
      <c r="G126" s="20" t="s">
        <v>42</v>
      </c>
      <c r="H126" s="21" t="str">
        <f>=DISPIMG("ID_CD15398D548344A4964E5CE4CA25F90A",1)</f>
        <v>=DISPIMG("ID_CD15398D548344A4964E5CE4CA25F90A",1)</v>
      </c>
      <c r="I126" s="86">
        <v>18.395</v>
      </c>
      <c r="J126" s="57" t="s">
        <v>26</v>
      </c>
      <c r="K126" s="23">
        <v>0</v>
      </c>
      <c r="L126" s="58">
        <f>I126*K126</f>
        <v>0</v>
      </c>
      <c r="M126" s="57" t="s">
        <v>26</v>
      </c>
      <c r="N126" s="23">
        <v>0</v>
      </c>
      <c r="O126" s="23">
        <v>0</v>
      </c>
      <c r="P126" s="23">
        <v>0</v>
      </c>
      <c r="Q126" s="23"/>
      <c r="R126" s="23"/>
      <c r="T126" s="79"/>
    </row>
    <row r="127" spans="1:20" s="2" customFormat="true">
      <c r="A127" s="16"/>
      <c r="B127" s="16"/>
      <c r="C127" s="22"/>
      <c r="D127" s="22"/>
      <c r="E127" s="20"/>
      <c r="F127" s="20"/>
      <c r="G127" s="20"/>
      <c r="H127" s="21"/>
      <c r="I127" s="87"/>
      <c r="J127" s="57" t="s">
        <v>27</v>
      </c>
      <c r="K127" s="23">
        <v>348</v>
      </c>
      <c r="L127" s="58">
        <f>I126*K127</f>
        <v>6401.46</v>
      </c>
      <c r="M127" s="57" t="s">
        <v>27</v>
      </c>
      <c r="N127" s="23">
        <v>0</v>
      </c>
      <c r="O127" s="23">
        <v>4</v>
      </c>
      <c r="P127" s="23">
        <f t="shared" ref="P127:P130" si="11">MAX(0,K127-O127)</f>
        <v>344</v>
      </c>
      <c r="Q127" s="23">
        <v>1</v>
      </c>
      <c r="R127" s="23"/>
      <c r="T127" s="79"/>
    </row>
    <row r="128" spans="1:20" s="2" customFormat="true">
      <c r="A128" s="16"/>
      <c r="B128" s="16"/>
      <c r="C128" s="22"/>
      <c r="D128" s="22"/>
      <c r="E128" s="20"/>
      <c r="F128" s="20"/>
      <c r="G128" s="20"/>
      <c r="H128" s="21"/>
      <c r="I128" s="87"/>
      <c r="J128" s="57" t="s">
        <v>28</v>
      </c>
      <c r="K128" s="23">
        <v>491</v>
      </c>
      <c r="L128" s="58">
        <f>I126*K128</f>
        <v>9031.945</v>
      </c>
      <c r="M128" s="57" t="s">
        <v>28</v>
      </c>
      <c r="N128" s="23">
        <v>0</v>
      </c>
      <c r="O128" s="23">
        <v>3</v>
      </c>
      <c r="P128" s="23">
        <f t="shared" si="11"/>
        <v>488</v>
      </c>
      <c r="Q128" s="23">
        <v>1</v>
      </c>
      <c r="R128" s="23"/>
      <c r="T128" s="79"/>
    </row>
    <row r="129" spans="1:20" s="2" customFormat="true">
      <c r="A129" s="16"/>
      <c r="B129" s="16"/>
      <c r="C129" s="22"/>
      <c r="D129" s="22"/>
      <c r="E129" s="20"/>
      <c r="F129" s="20"/>
      <c r="G129" s="20"/>
      <c r="H129" s="21"/>
      <c r="I129" s="87"/>
      <c r="J129" s="57" t="s">
        <v>29</v>
      </c>
      <c r="K129" s="23">
        <v>410</v>
      </c>
      <c r="L129" s="58">
        <f>I126*K129</f>
        <v>7541.95</v>
      </c>
      <c r="M129" s="57" t="s">
        <v>29</v>
      </c>
      <c r="N129" s="23">
        <v>0</v>
      </c>
      <c r="O129" s="23">
        <v>0</v>
      </c>
      <c r="P129" s="23">
        <f t="shared" si="11"/>
        <v>410</v>
      </c>
      <c r="Q129" s="23">
        <v>0</v>
      </c>
      <c r="R129" s="23"/>
      <c r="T129" s="79"/>
    </row>
    <row r="130" spans="1:20" s="2" customFormat="true">
      <c r="A130" s="16"/>
      <c r="B130" s="16"/>
      <c r="C130" s="22"/>
      <c r="D130" s="22"/>
      <c r="E130" s="20"/>
      <c r="F130" s="20"/>
      <c r="G130" s="20"/>
      <c r="H130" s="21"/>
      <c r="I130" s="87"/>
      <c r="J130" s="57" t="s">
        <v>30</v>
      </c>
      <c r="K130" s="23">
        <v>298</v>
      </c>
      <c r="L130" s="58">
        <f>I126*K130</f>
        <v>5481.71</v>
      </c>
      <c r="M130" s="57" t="s">
        <v>30</v>
      </c>
      <c r="N130" s="23">
        <v>0</v>
      </c>
      <c r="O130" s="23">
        <v>0</v>
      </c>
      <c r="P130" s="23">
        <f t="shared" si="11"/>
        <v>298</v>
      </c>
      <c r="Q130" s="23">
        <v>0</v>
      </c>
      <c r="R130" s="23"/>
      <c r="T130" s="79"/>
    </row>
    <row r="131" spans="1:20" s="2" customFormat="true">
      <c r="A131" s="16"/>
      <c r="B131" s="16"/>
      <c r="C131" s="22"/>
      <c r="D131" s="22"/>
      <c r="E131" s="20"/>
      <c r="F131" s="20"/>
      <c r="G131" s="20"/>
      <c r="H131" s="21"/>
      <c r="I131" s="88"/>
      <c r="J131" s="23" t="s">
        <v>31</v>
      </c>
      <c r="K131" s="23">
        <v>0</v>
      </c>
      <c r="L131" s="58">
        <f>I126*K131</f>
        <v>0</v>
      </c>
      <c r="M131" s="23" t="s">
        <v>31</v>
      </c>
      <c r="N131" s="23">
        <v>0</v>
      </c>
      <c r="O131" s="23">
        <v>0</v>
      </c>
      <c r="P131" s="23">
        <v>0</v>
      </c>
      <c r="Q131" s="23"/>
      <c r="R131" s="23"/>
      <c r="T131" s="79"/>
    </row>
    <row r="132" spans="1:20" s="2" customFormat="true">
      <c r="A132" s="24"/>
      <c r="B132" s="24"/>
      <c r="C132" s="25"/>
      <c r="D132" s="25"/>
      <c r="E132" s="26"/>
      <c r="F132" s="26"/>
      <c r="G132" s="26"/>
      <c r="H132" s="27"/>
      <c r="I132" s="62"/>
      <c r="J132" s="61" t="s">
        <v>32</v>
      </c>
      <c r="K132" s="62">
        <f>SUM(K126:K131)</f>
        <v>1547</v>
      </c>
      <c r="L132" s="63">
        <f>SUM(L126:L131)</f>
        <v>28457.065</v>
      </c>
      <c r="M132" s="61" t="s">
        <v>32</v>
      </c>
      <c r="N132" s="62" cm="1">
        <f t="array" ref="N132">SUMPRODUCT(--(N126:N131))</f>
        <v>0</v>
      </c>
      <c r="O132" s="62" cm="1">
        <f t="array" ref="O132">SUMPRODUCT(--(O126:O131))</f>
        <v>7</v>
      </c>
      <c r="P132" s="64" cm="1">
        <f t="array" ref="P132">SUMPRODUCT(--(P126:P131))</f>
        <v>1540</v>
      </c>
      <c r="Q132" s="64">
        <f>SUM(Q126:Q131)</f>
        <v>2</v>
      </c>
      <c r="R132" s="64">
        <f>SUM(R126:R131)</f>
        <v>0</v>
      </c>
      <c r="T132" s="79"/>
    </row>
    <row r="133" spans="1:16" s="3" customFormat="true">
      <c r="A133" s="4"/>
      <c r="B133" s="4"/>
      <c r="C133" s="31"/>
      <c r="D133" s="31"/>
      <c r="E133" s="31"/>
      <c r="F133" s="31"/>
      <c r="G133" s="31"/>
      <c r="H133" s="31"/>
      <c r="I133" s="65"/>
      <c r="J133" s="31"/>
      <c r="K133" s="65"/>
      <c r="L133" s="65"/>
      <c r="M133" s="31"/>
      <c r="N133" s="65"/>
      <c r="O133" s="65"/>
      <c r="P133" s="65"/>
    </row>
    <row r="134"/>
    <row r="135" spans="1:14" ht="46" customHeight="true">
      <c r="A135" s="32" t="s">
        <v>45</v>
      </c>
      <c r="B135" s="33"/>
      <c r="C135" s="34" t="s">
        <v>5</v>
      </c>
      <c r="D135" s="35" t="s">
        <v>6</v>
      </c>
      <c r="E135" s="32"/>
      <c r="F135" s="32"/>
      <c r="G135" s="32" t="s">
        <v>9</v>
      </c>
      <c r="H135" s="33"/>
      <c r="I135" s="34" t="s">
        <v>46</v>
      </c>
      <c r="J135" s="34" t="s">
        <v>47</v>
      </c>
      <c r="K135" s="66" t="s">
        <v>48</v>
      </c>
      <c r="L135" s="67"/>
      <c r="M135" s="32" t="s">
        <v>49</v>
      </c>
      <c r="N135" s="33"/>
    </row>
    <row r="136" spans="1:14" ht="25.05" customHeight="true">
      <c r="A136" s="89" t="s">
        <v>126</v>
      </c>
      <c r="B136" s="37"/>
      <c r="C136" s="18" t="s">
        <v>144</v>
      </c>
      <c r="D136" s="18" t="s">
        <v>131</v>
      </c>
      <c r="E136" s="39"/>
      <c r="F136" s="39"/>
      <c r="G136" s="39"/>
      <c r="H136" s="40"/>
      <c r="I136" s="68" t="str">
        <f>SUM(K11,K22,K33,K44,K55,K66,K77,K88,K99,K110,K121,K132)&amp;"件"</f>
        <v>9677件</v>
      </c>
      <c r="J136" s="68" t="str">
        <f>SUM(O11,O22,O33,O44,O55,O66,O77,O88,O99,O110,O121,O132)&amp;"件"</f>
        <v>123件</v>
      </c>
      <c r="K136" s="69" t="str">
        <f>SUM(P11,P22,P33,P44,P55,P66,P77,P88,P99,P110,P121,P132)&amp;"件"</f>
        <v>9554件</v>
      </c>
      <c r="L136" s="70"/>
      <c r="M136" s="71"/>
      <c r="N136" s="70"/>
    </row>
    <row r="137" spans="1:14" ht="25.05" customHeight="true">
      <c r="A137" s="41"/>
      <c r="B137" s="42"/>
      <c r="C137" s="22"/>
      <c r="D137" s="22"/>
      <c r="E137" s="44"/>
      <c r="F137" s="44"/>
      <c r="G137" s="44"/>
      <c r="H137" s="45"/>
      <c r="I137" s="16"/>
      <c r="J137" s="16"/>
      <c r="K137" s="72"/>
      <c r="L137" s="73"/>
      <c r="M137" s="74"/>
      <c r="N137" s="73"/>
    </row>
    <row r="138" spans="1:14" ht="15.6">
      <c r="A138" s="41"/>
      <c r="B138" s="42"/>
      <c r="C138" s="22"/>
      <c r="D138" s="22"/>
      <c r="E138" s="44"/>
      <c r="F138" s="44"/>
      <c r="G138" s="44"/>
      <c r="H138" s="45"/>
      <c r="I138" s="16"/>
      <c r="J138" s="16"/>
      <c r="K138" s="72"/>
      <c r="L138" s="73"/>
      <c r="M138" s="74"/>
      <c r="N138" s="73"/>
    </row>
    <row r="139" spans="1:14" ht="15.6">
      <c r="A139" s="41"/>
      <c r="B139" s="42"/>
      <c r="C139" s="22"/>
      <c r="D139" s="22"/>
      <c r="E139" s="44"/>
      <c r="F139" s="44"/>
      <c r="G139" s="44"/>
      <c r="H139" s="45"/>
      <c r="I139" s="16"/>
      <c r="J139" s="16"/>
      <c r="K139" s="72"/>
      <c r="L139" s="73"/>
      <c r="M139" s="74"/>
      <c r="N139" s="73"/>
    </row>
    <row r="140" spans="1:14" ht="15.6">
      <c r="A140" s="41"/>
      <c r="B140" s="42"/>
      <c r="C140" s="22"/>
      <c r="D140" s="22"/>
      <c r="E140" s="44"/>
      <c r="F140" s="44"/>
      <c r="G140" s="44"/>
      <c r="H140" s="45"/>
      <c r="I140" s="16"/>
      <c r="J140" s="16"/>
      <c r="K140" s="72"/>
      <c r="L140" s="73"/>
      <c r="M140" s="74"/>
      <c r="N140" s="73"/>
    </row>
    <row r="141" spans="1:14" customHeight="true">
      <c r="A141" s="41"/>
      <c r="B141" s="42"/>
      <c r="C141" s="22"/>
      <c r="D141" s="22"/>
      <c r="E141" s="44"/>
      <c r="F141" s="44"/>
      <c r="G141" s="44"/>
      <c r="H141" s="45"/>
      <c r="I141" s="16"/>
      <c r="J141" s="16"/>
      <c r="K141" s="72"/>
      <c r="L141" s="73"/>
      <c r="M141" s="74"/>
      <c r="N141" s="73"/>
    </row>
    <row r="142" spans="1:14" ht="15.6">
      <c r="A142" s="46"/>
      <c r="B142" s="47"/>
      <c r="C142" s="25"/>
      <c r="D142" s="25"/>
      <c r="E142" s="49"/>
      <c r="F142" s="49"/>
      <c r="G142" s="49"/>
      <c r="H142" s="50"/>
      <c r="I142" s="24"/>
      <c r="J142" s="24"/>
      <c r="K142" s="75"/>
      <c r="L142" s="76"/>
      <c r="M142" s="77"/>
      <c r="N142" s="76"/>
    </row>
  </sheetData>
  <mergeCells count="248">
    <mergeCell ref="A1:L1"/>
    <mergeCell ref="M1:O1"/>
    <mergeCell ref="P1:R1"/>
    <mergeCell ref="A12:P12"/>
    <mergeCell ref="A23:P23"/>
    <mergeCell ref="A34:P34"/>
    <mergeCell ref="A45:P45"/>
    <mergeCell ref="A56:P56"/>
    <mergeCell ref="A135:B135"/>
    <mergeCell ref="G135:H135"/>
    <mergeCell ref="K135:L135"/>
    <mergeCell ref="M135:N135"/>
    <mergeCell ref="A2:A4"/>
    <mergeCell ref="A5:A11"/>
    <mergeCell ref="A13:A15"/>
    <mergeCell ref="A16:A22"/>
    <mergeCell ref="A24:A26"/>
    <mergeCell ref="A27:A33"/>
    <mergeCell ref="A35:A37"/>
    <mergeCell ref="A38:A44"/>
    <mergeCell ref="A46:A48"/>
    <mergeCell ref="A49:A55"/>
    <mergeCell ref="A57:A59"/>
    <mergeCell ref="A60:A66"/>
    <mergeCell ref="A68:A70"/>
    <mergeCell ref="A71:A77"/>
    <mergeCell ref="A79:A81"/>
    <mergeCell ref="A82:A88"/>
    <mergeCell ref="A90:A92"/>
    <mergeCell ref="A93:A99"/>
    <mergeCell ref="A101:A103"/>
    <mergeCell ref="A104:A110"/>
    <mergeCell ref="A112:A114"/>
    <mergeCell ref="A115:A121"/>
    <mergeCell ref="A123:A125"/>
    <mergeCell ref="A126:A132"/>
    <mergeCell ref="B2:B4"/>
    <mergeCell ref="B5:B11"/>
    <mergeCell ref="B13:B15"/>
    <mergeCell ref="B16:B22"/>
    <mergeCell ref="B24:B26"/>
    <mergeCell ref="B27:B33"/>
    <mergeCell ref="B35:B37"/>
    <mergeCell ref="B38:B44"/>
    <mergeCell ref="B46:B48"/>
    <mergeCell ref="B49:B55"/>
    <mergeCell ref="B57:B59"/>
    <mergeCell ref="B60:B66"/>
    <mergeCell ref="B68:B70"/>
    <mergeCell ref="B71:B77"/>
    <mergeCell ref="B79:B81"/>
    <mergeCell ref="B82:B88"/>
    <mergeCell ref="B90:B92"/>
    <mergeCell ref="B93:B99"/>
    <mergeCell ref="B101:B103"/>
    <mergeCell ref="B104:B110"/>
    <mergeCell ref="B112:B114"/>
    <mergeCell ref="B115:B121"/>
    <mergeCell ref="B123:B125"/>
    <mergeCell ref="B126:B132"/>
    <mergeCell ref="C2:C4"/>
    <mergeCell ref="C5:C11"/>
    <mergeCell ref="C13:C15"/>
    <mergeCell ref="C16:C22"/>
    <mergeCell ref="C24:C26"/>
    <mergeCell ref="C27:C33"/>
    <mergeCell ref="C35:C37"/>
    <mergeCell ref="C38:C44"/>
    <mergeCell ref="C46:C48"/>
    <mergeCell ref="C49:C55"/>
    <mergeCell ref="C57:C59"/>
    <mergeCell ref="C60:C66"/>
    <mergeCell ref="C68:C70"/>
    <mergeCell ref="C71:C77"/>
    <mergeCell ref="C79:C81"/>
    <mergeCell ref="C82:C88"/>
    <mergeCell ref="C90:C92"/>
    <mergeCell ref="C93:C99"/>
    <mergeCell ref="C101:C103"/>
    <mergeCell ref="C104:C110"/>
    <mergeCell ref="C112:C114"/>
    <mergeCell ref="C115:C121"/>
    <mergeCell ref="C123:C125"/>
    <mergeCell ref="C126:C132"/>
    <mergeCell ref="C136:C142"/>
    <mergeCell ref="D2:D4"/>
    <mergeCell ref="D5:D11"/>
    <mergeCell ref="D13:D15"/>
    <mergeCell ref="D16:D22"/>
    <mergeCell ref="D24:D26"/>
    <mergeCell ref="D27:D33"/>
    <mergeCell ref="D35:D37"/>
    <mergeCell ref="D38:D44"/>
    <mergeCell ref="D46:D48"/>
    <mergeCell ref="D49:D55"/>
    <mergeCell ref="D57:D59"/>
    <mergeCell ref="D60:D66"/>
    <mergeCell ref="D68:D70"/>
    <mergeCell ref="D71:D77"/>
    <mergeCell ref="D79:D81"/>
    <mergeCell ref="D82:D88"/>
    <mergeCell ref="D90:D92"/>
    <mergeCell ref="D93:D99"/>
    <mergeCell ref="D101:D103"/>
    <mergeCell ref="D104:D110"/>
    <mergeCell ref="D112:D114"/>
    <mergeCell ref="D115:D121"/>
    <mergeCell ref="D123:D125"/>
    <mergeCell ref="D126:D132"/>
    <mergeCell ref="D136:D142"/>
    <mergeCell ref="G5:G11"/>
    <mergeCell ref="G16:G22"/>
    <mergeCell ref="G27:G33"/>
    <mergeCell ref="G38:G44"/>
    <mergeCell ref="G49:G55"/>
    <mergeCell ref="G60:G66"/>
    <mergeCell ref="G71:G77"/>
    <mergeCell ref="G82:G88"/>
    <mergeCell ref="G93:G99"/>
    <mergeCell ref="G104:G110"/>
    <mergeCell ref="G115:G121"/>
    <mergeCell ref="G126:G132"/>
    <mergeCell ref="H5:H11"/>
    <mergeCell ref="H16:H22"/>
    <mergeCell ref="H27:H33"/>
    <mergeCell ref="H38:H44"/>
    <mergeCell ref="H49:H55"/>
    <mergeCell ref="H60:H66"/>
    <mergeCell ref="H71:H77"/>
    <mergeCell ref="H82:H88"/>
    <mergeCell ref="H93:H99"/>
    <mergeCell ref="H104:H110"/>
    <mergeCell ref="H115:H121"/>
    <mergeCell ref="H126:H132"/>
    <mergeCell ref="I2:I4"/>
    <mergeCell ref="I5:I10"/>
    <mergeCell ref="I13:I15"/>
    <mergeCell ref="I16:I21"/>
    <mergeCell ref="I24:I26"/>
    <mergeCell ref="I27:I32"/>
    <mergeCell ref="I35:I37"/>
    <mergeCell ref="I38:I43"/>
    <mergeCell ref="I46:I48"/>
    <mergeCell ref="I49:I54"/>
    <mergeCell ref="I57:I59"/>
    <mergeCell ref="I60:I65"/>
    <mergeCell ref="I68:I70"/>
    <mergeCell ref="I71:I76"/>
    <mergeCell ref="I79:I81"/>
    <mergeCell ref="I82:I87"/>
    <mergeCell ref="I90:I92"/>
    <mergeCell ref="I93:I98"/>
    <mergeCell ref="I101:I103"/>
    <mergeCell ref="I104:I109"/>
    <mergeCell ref="I112:I114"/>
    <mergeCell ref="I115:I120"/>
    <mergeCell ref="I123:I125"/>
    <mergeCell ref="I126:I131"/>
    <mergeCell ref="I136:I142"/>
    <mergeCell ref="J2:J4"/>
    <mergeCell ref="J13:J15"/>
    <mergeCell ref="J24:J26"/>
    <mergeCell ref="J35:J37"/>
    <mergeCell ref="J46:J48"/>
    <mergeCell ref="J57:J59"/>
    <mergeCell ref="J68:J70"/>
    <mergeCell ref="J79:J81"/>
    <mergeCell ref="J90:J92"/>
    <mergeCell ref="J101:J103"/>
    <mergeCell ref="J112:J114"/>
    <mergeCell ref="J123:J125"/>
    <mergeCell ref="J136:J142"/>
    <mergeCell ref="M2:M4"/>
    <mergeCell ref="M13:M15"/>
    <mergeCell ref="M24:M26"/>
    <mergeCell ref="M35:M37"/>
    <mergeCell ref="M46:M48"/>
    <mergeCell ref="M57:M59"/>
    <mergeCell ref="M68:M70"/>
    <mergeCell ref="M79:M81"/>
    <mergeCell ref="M90:M92"/>
    <mergeCell ref="M101:M103"/>
    <mergeCell ref="M112:M114"/>
    <mergeCell ref="M123:M125"/>
    <mergeCell ref="Q2:Q3"/>
    <mergeCell ref="Q13:Q14"/>
    <mergeCell ref="Q24:Q25"/>
    <mergeCell ref="Q35:Q36"/>
    <mergeCell ref="Q46:Q47"/>
    <mergeCell ref="Q57:Q58"/>
    <mergeCell ref="Q68:Q69"/>
    <mergeCell ref="Q79:Q80"/>
    <mergeCell ref="Q90:Q91"/>
    <mergeCell ref="Q101:Q102"/>
    <mergeCell ref="Q112:Q113"/>
    <mergeCell ref="Q123:Q124"/>
    <mergeCell ref="R2:R3"/>
    <mergeCell ref="R13:R14"/>
    <mergeCell ref="R24:R25"/>
    <mergeCell ref="R35:R36"/>
    <mergeCell ref="R46:R47"/>
    <mergeCell ref="R57:R58"/>
    <mergeCell ref="R68:R69"/>
    <mergeCell ref="R79:R80"/>
    <mergeCell ref="R90:R91"/>
    <mergeCell ref="R101:R102"/>
    <mergeCell ref="R112:R113"/>
    <mergeCell ref="R123:R124"/>
    <mergeCell ref="G2:H4"/>
    <mergeCell ref="K2:L3"/>
    <mergeCell ref="N2:P3"/>
    <mergeCell ref="G13:H15"/>
    <mergeCell ref="K13:L14"/>
    <mergeCell ref="N13:P14"/>
    <mergeCell ref="G24:H26"/>
    <mergeCell ref="K24:L25"/>
    <mergeCell ref="N24:P25"/>
    <mergeCell ref="G35:H37"/>
    <mergeCell ref="K35:L36"/>
    <mergeCell ref="N35:P36"/>
    <mergeCell ref="G46:H48"/>
    <mergeCell ref="K46:L47"/>
    <mergeCell ref="N46:P47"/>
    <mergeCell ref="G57:H59"/>
    <mergeCell ref="K57:L58"/>
    <mergeCell ref="N57:P58"/>
    <mergeCell ref="G68:H70"/>
    <mergeCell ref="K68:L69"/>
    <mergeCell ref="N68:P69"/>
    <mergeCell ref="G79:H81"/>
    <mergeCell ref="K79:L80"/>
    <mergeCell ref="N79:P80"/>
    <mergeCell ref="G90:H92"/>
    <mergeCell ref="K90:L91"/>
    <mergeCell ref="N90:P91"/>
    <mergeCell ref="G101:H103"/>
    <mergeCell ref="K101:L102"/>
    <mergeCell ref="N101:P102"/>
    <mergeCell ref="G112:H114"/>
    <mergeCell ref="K112:L113"/>
    <mergeCell ref="N112:P113"/>
    <mergeCell ref="G123:H125"/>
    <mergeCell ref="K123:L124"/>
    <mergeCell ref="N123:P124"/>
    <mergeCell ref="A136:B142"/>
    <mergeCell ref="G136:H142"/>
    <mergeCell ref="K136:L142"/>
    <mergeCell ref="M136:N142"/>
  </mergeCells>
  <pageMargins left="0.75" right="0.75" top="1" bottom="1" header="0.5" footer="0.5"/>
  <pageSetup orientation="portrait" paperSize="9"/>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U77"/>
  <sheetViews>
    <sheetView zoomScale="90" zoomScaleNormal="90" workbookViewId="0">
      <selection activeCell="R9" sqref="R9"/>
    </sheetView>
  </sheetViews>
  <sheetFormatPr defaultColWidth="8.55555555555556" defaultRowHeight="14.4"/>
  <cols>
    <col customWidth="true" max="1" min="1" style="3" width="7"/>
    <col customWidth="true" max="2" min="2" style="3" width="8.77777777777778"/>
    <col customWidth="true" max="3" min="3" style="3" width="20.8518518518519"/>
    <col customWidth="true" max="4" min="4" style="3" width="9.88888888888889"/>
    <col customWidth="true" hidden="true" max="5" min="5" style="3" width="12.7777777777778"/>
    <col customWidth="true" hidden="true" max="6" min="6" style="3" width="12.6666666666667"/>
    <col customWidth="true" max="7" min="7" style="3" width="13.5740740740741"/>
    <col customWidth="true" max="8" min="8" style="3" width="11.5555555555556"/>
    <col customWidth="true" max="9" min="9" style="3" width="13.9444444444444"/>
    <col customWidth="true" max="10" min="10" style="4" width="13.2037037037037"/>
    <col customWidth="true" max="11" min="11" style="3" width="12.5833333333333"/>
    <col customWidth="true" max="12" min="12" style="3" width="15.3055555555556"/>
    <col customWidth="true" max="13" min="13" style="4" width="12.5925925925926"/>
    <col customWidth="true" max="14" min="14" style="3" width="10.8611111111111"/>
    <col customWidth="true" max="15" min="15" style="3" width="11.3518518518519"/>
    <col customWidth="true" max="18" min="16" style="3" width="13.0833333333333"/>
    <col max="16384" min="19" style="3" width="8.55555555555556"/>
  </cols>
  <sheetData>
    <row r="1" spans="1:20" s="1" customFormat="true" ht="58.8" customHeight="true">
      <c r="A1" s="5" t="s">
        <v>145</v>
      </c>
      <c r="B1" s="6"/>
      <c r="C1" s="6"/>
      <c r="D1" s="6"/>
      <c r="E1" s="6"/>
      <c r="F1" s="6"/>
      <c r="G1" s="6"/>
      <c r="H1" s="6"/>
      <c r="I1" s="6"/>
      <c r="J1" s="6"/>
      <c r="K1" s="6"/>
      <c r="L1" s="6"/>
      <c r="M1" s="6" t="s">
        <v>2</v>
      </c>
      <c r="N1" s="6"/>
      <c r="O1" s="6"/>
      <c r="P1" s="6"/>
      <c r="Q1" s="6"/>
      <c r="R1" s="6"/>
      <c r="S1" s="83"/>
      <c r="T1" s="78"/>
    </row>
    <row r="2" spans="1:20" s="1" customFormat="true" ht="10.95" customHeight="true">
      <c r="A2" s="7" t="s">
        <v>3</v>
      </c>
      <c r="B2" s="7" t="s">
        <v>4</v>
      </c>
      <c r="C2" s="7" t="s">
        <v>5</v>
      </c>
      <c r="D2" s="7" t="s">
        <v>6</v>
      </c>
      <c r="E2" s="7" t="s">
        <v>7</v>
      </c>
      <c r="F2" s="7" t="s">
        <v>8</v>
      </c>
      <c r="G2" s="8" t="s">
        <v>9</v>
      </c>
      <c r="H2" s="9"/>
      <c r="I2" s="7" t="s">
        <v>10</v>
      </c>
      <c r="J2" s="7" t="s">
        <v>11</v>
      </c>
      <c r="K2" s="52" t="s">
        <v>12</v>
      </c>
      <c r="L2" s="9"/>
      <c r="M2" s="7" t="s">
        <v>11</v>
      </c>
      <c r="N2" s="52" t="s">
        <v>13</v>
      </c>
      <c r="O2" s="52"/>
      <c r="P2" s="9"/>
      <c r="Q2" s="9" t="s">
        <v>14</v>
      </c>
      <c r="R2" s="9" t="s">
        <v>15</v>
      </c>
      <c r="S2" s="83"/>
      <c r="T2" s="78"/>
    </row>
    <row r="3" spans="1:20" s="1" customFormat="true" ht="16.05" customHeight="true">
      <c r="A3" s="10"/>
      <c r="B3" s="10"/>
      <c r="C3" s="10"/>
      <c r="D3" s="10"/>
      <c r="E3" s="10"/>
      <c r="F3" s="10"/>
      <c r="G3" s="11"/>
      <c r="H3" s="12"/>
      <c r="I3" s="10"/>
      <c r="J3" s="10"/>
      <c r="K3" s="53"/>
      <c r="L3" s="15"/>
      <c r="M3" s="10"/>
      <c r="N3" s="53"/>
      <c r="O3" s="53"/>
      <c r="P3" s="15"/>
      <c r="Q3" s="15"/>
      <c r="R3" s="15"/>
      <c r="S3" s="83"/>
      <c r="T3" s="78"/>
    </row>
    <row r="4" spans="1:20" s="1" customFormat="true" ht="28.95" customHeight="true">
      <c r="A4" s="13"/>
      <c r="B4" s="13"/>
      <c r="C4" s="13"/>
      <c r="D4" s="13"/>
      <c r="E4" s="13"/>
      <c r="F4" s="13"/>
      <c r="G4" s="14"/>
      <c r="H4" s="15"/>
      <c r="I4" s="13"/>
      <c r="J4" s="13"/>
      <c r="K4" s="54" t="s">
        <v>16</v>
      </c>
      <c r="L4" s="55" t="s">
        <v>17</v>
      </c>
      <c r="M4" s="13"/>
      <c r="N4" s="55" t="s">
        <v>18</v>
      </c>
      <c r="O4" s="55" t="s">
        <v>19</v>
      </c>
      <c r="P4" s="55" t="s">
        <v>20</v>
      </c>
      <c r="Q4" s="55" t="s">
        <v>21</v>
      </c>
      <c r="R4" s="55" t="s">
        <v>22</v>
      </c>
      <c r="S4" s="83"/>
      <c r="T4" s="78"/>
    </row>
    <row r="5" spans="1:20" s="2" customFormat="true" customHeight="true">
      <c r="A5" s="16">
        <v>1</v>
      </c>
      <c r="B5" s="17" t="str">
        <f>=DISPIMG("ID_A5A3C42C7A664370BA3DAD0DF3B81966",1)</f>
        <v>=DISPIMG("ID_A5A3C42C7A664370BA3DAD0DF3B81966",1)</v>
      </c>
      <c r="C5" s="18" t="s">
        <v>146</v>
      </c>
      <c r="D5" s="18" t="s">
        <v>147</v>
      </c>
      <c r="E5" s="19"/>
      <c r="F5" s="19"/>
      <c r="G5" s="20" t="s">
        <v>148</v>
      </c>
      <c r="H5" s="21" t="str">
        <f>=DISPIMG("ID_8931EF2886AC4D2B9B77270DD4E93DFA",1)</f>
        <v>=DISPIMG("ID_8931EF2886AC4D2B9B77270DD4E93DFA",1)</v>
      </c>
      <c r="I5" s="56">
        <v>21.89</v>
      </c>
      <c r="J5" s="57" t="s">
        <v>26</v>
      </c>
      <c r="K5" s="23">
        <v>97</v>
      </c>
      <c r="L5" s="58">
        <f>I5*K5</f>
        <v>2123.33</v>
      </c>
      <c r="M5" s="57" t="s">
        <v>26</v>
      </c>
      <c r="N5" s="23">
        <v>0</v>
      </c>
      <c r="O5" s="23">
        <v>118</v>
      </c>
      <c r="P5" s="23">
        <f t="shared" ref="P5:P10" si="0">MAX(0,K5-O5)</f>
        <v>0</v>
      </c>
      <c r="Q5" s="23">
        <v>22</v>
      </c>
      <c r="R5" s="23"/>
      <c r="T5" s="79"/>
    </row>
    <row r="6" spans="1:20" s="2" customFormat="true">
      <c r="A6" s="16"/>
      <c r="B6" s="16"/>
      <c r="C6" s="22"/>
      <c r="D6" s="22"/>
      <c r="E6" s="23"/>
      <c r="F6" s="23"/>
      <c r="G6" s="20"/>
      <c r="H6" s="21"/>
      <c r="I6" s="59"/>
      <c r="J6" s="57" t="s">
        <v>27</v>
      </c>
      <c r="K6" s="23">
        <v>153</v>
      </c>
      <c r="L6" s="58">
        <f>I5*K6</f>
        <v>3349.17</v>
      </c>
      <c r="M6" s="57" t="s">
        <v>27</v>
      </c>
      <c r="N6" s="23">
        <v>0</v>
      </c>
      <c r="O6" s="23">
        <v>216</v>
      </c>
      <c r="P6" s="23">
        <f t="shared" si="0"/>
        <v>0</v>
      </c>
      <c r="Q6" s="23">
        <v>69</v>
      </c>
      <c r="R6" s="23"/>
      <c r="T6" s="79"/>
    </row>
    <row r="7" spans="1:20" s="2" customFormat="true">
      <c r="A7" s="16"/>
      <c r="B7" s="16"/>
      <c r="C7" s="22"/>
      <c r="D7" s="22"/>
      <c r="E7" s="23"/>
      <c r="F7" s="23"/>
      <c r="G7" s="20"/>
      <c r="H7" s="21"/>
      <c r="I7" s="59"/>
      <c r="J7" s="57" t="s">
        <v>28</v>
      </c>
      <c r="K7" s="23">
        <v>293</v>
      </c>
      <c r="L7" s="58">
        <f>I5*K7</f>
        <v>6413.77</v>
      </c>
      <c r="M7" s="57" t="s">
        <v>28</v>
      </c>
      <c r="N7" s="23">
        <v>0</v>
      </c>
      <c r="O7" s="23">
        <v>371</v>
      </c>
      <c r="P7" s="23">
        <f t="shared" si="0"/>
        <v>0</v>
      </c>
      <c r="Q7" s="23">
        <v>91</v>
      </c>
      <c r="R7" s="23"/>
      <c r="T7" s="79"/>
    </row>
    <row r="8" spans="1:20" s="2" customFormat="true">
      <c r="A8" s="16"/>
      <c r="B8" s="16"/>
      <c r="C8" s="22"/>
      <c r="D8" s="22"/>
      <c r="E8" s="23"/>
      <c r="F8" s="23"/>
      <c r="G8" s="20"/>
      <c r="H8" s="21"/>
      <c r="I8" s="59"/>
      <c r="J8" s="57" t="s">
        <v>29</v>
      </c>
      <c r="K8" s="23">
        <v>188</v>
      </c>
      <c r="L8" s="58">
        <f>I5*K8</f>
        <v>4115.32</v>
      </c>
      <c r="M8" s="57" t="s">
        <v>29</v>
      </c>
      <c r="N8" s="23">
        <v>0</v>
      </c>
      <c r="O8" s="23">
        <v>217</v>
      </c>
      <c r="P8" s="23">
        <f t="shared" si="0"/>
        <v>0</v>
      </c>
      <c r="Q8" s="23">
        <v>38</v>
      </c>
      <c r="R8" s="23"/>
      <c r="T8" s="79"/>
    </row>
    <row r="9" spans="1:20" s="2" customFormat="true">
      <c r="A9" s="16"/>
      <c r="B9" s="16"/>
      <c r="C9" s="22"/>
      <c r="D9" s="22"/>
      <c r="E9" s="23"/>
      <c r="F9" s="23"/>
      <c r="G9" s="20"/>
      <c r="H9" s="21"/>
      <c r="I9" s="59"/>
      <c r="J9" s="57" t="s">
        <v>30</v>
      </c>
      <c r="K9" s="23">
        <v>138</v>
      </c>
      <c r="L9" s="58">
        <f>I5*K9</f>
        <v>3020.82</v>
      </c>
      <c r="M9" s="57" t="s">
        <v>30</v>
      </c>
      <c r="N9" s="23">
        <v>1</v>
      </c>
      <c r="O9" s="23">
        <v>134</v>
      </c>
      <c r="P9" s="23">
        <f t="shared" si="0"/>
        <v>4</v>
      </c>
      <c r="Q9" s="23">
        <v>25</v>
      </c>
      <c r="R9" s="23"/>
      <c r="T9" s="79"/>
    </row>
    <row r="10" spans="1:20" s="2" customFormat="true">
      <c r="A10" s="16"/>
      <c r="B10" s="16"/>
      <c r="C10" s="22"/>
      <c r="D10" s="22"/>
      <c r="E10" s="23"/>
      <c r="F10" s="23"/>
      <c r="G10" s="20"/>
      <c r="H10" s="21"/>
      <c r="I10" s="60"/>
      <c r="J10" s="23" t="s">
        <v>31</v>
      </c>
      <c r="K10" s="23">
        <v>92</v>
      </c>
      <c r="L10" s="58">
        <f>I5*K10</f>
        <v>2013.88</v>
      </c>
      <c r="M10" s="23" t="s">
        <v>31</v>
      </c>
      <c r="N10" s="23">
        <v>0</v>
      </c>
      <c r="O10" s="23">
        <v>99</v>
      </c>
      <c r="P10" s="23">
        <f t="shared" si="0"/>
        <v>0</v>
      </c>
      <c r="Q10" s="23">
        <v>10</v>
      </c>
      <c r="R10" s="23"/>
      <c r="T10" s="79"/>
    </row>
    <row r="11" spans="1:20" s="2" customFormat="true">
      <c r="A11" s="24"/>
      <c r="B11" s="24"/>
      <c r="C11" s="25"/>
      <c r="D11" s="25"/>
      <c r="E11" s="23"/>
      <c r="F11" s="23"/>
      <c r="G11" s="26"/>
      <c r="H11" s="27"/>
      <c r="J11" s="61" t="s">
        <v>32</v>
      </c>
      <c r="K11" s="62">
        <f t="shared" ref="K11:N11" si="1">SUM(K5:K10)</f>
        <v>961</v>
      </c>
      <c r="L11" s="63">
        <f t="shared" si="1"/>
        <v>21036.29</v>
      </c>
      <c r="M11" s="61" t="s">
        <v>32</v>
      </c>
      <c r="N11" s="62">
        <f t="shared" si="1"/>
        <v>1</v>
      </c>
      <c r="O11" s="62" cm="1">
        <f t="array" ref="O11">SUMPRODUCT(--(O5:O10))</f>
        <v>1155</v>
      </c>
      <c r="P11" s="64" cm="1">
        <f t="array" ref="P11">SUMPRODUCT(--(P5:P10))</f>
        <v>4</v>
      </c>
      <c r="Q11" s="64">
        <f>SUM(Q5:Q10)</f>
        <v>255</v>
      </c>
      <c r="R11" s="64">
        <f>SUM(R5:R10)</f>
        <v>0</v>
      </c>
      <c r="T11" s="79"/>
    </row>
    <row r="12" spans="1:20" s="2" customFormat="true" ht="17.4" customHeight="true">
      <c r="A12" s="28"/>
      <c r="B12" s="29"/>
      <c r="C12" s="29"/>
      <c r="D12" s="29"/>
      <c r="E12" s="29"/>
      <c r="F12" s="29"/>
      <c r="G12" s="29"/>
      <c r="H12" s="29"/>
      <c r="I12" s="29"/>
      <c r="J12" s="29"/>
      <c r="K12" s="29"/>
      <c r="L12" s="29"/>
      <c r="M12" s="29"/>
      <c r="N12" s="29"/>
      <c r="O12" s="29"/>
      <c r="P12" s="29"/>
      <c r="Q12" s="29"/>
      <c r="R12" s="29"/>
      <c r="T12" s="79"/>
    </row>
    <row r="13" spans="1:21" s="1" customFormat="true" ht="10.95" customHeight="true">
      <c r="A13" s="7" t="s">
        <v>3</v>
      </c>
      <c r="B13" s="30" t="s">
        <v>4</v>
      </c>
      <c r="C13" s="30" t="s">
        <v>5</v>
      </c>
      <c r="D13" s="30" t="s">
        <v>6</v>
      </c>
      <c r="E13" s="30" t="s">
        <v>7</v>
      </c>
      <c r="F13" s="30" t="s">
        <v>8</v>
      </c>
      <c r="G13" s="30" t="s">
        <v>9</v>
      </c>
      <c r="H13" s="30"/>
      <c r="I13" s="7" t="s">
        <v>10</v>
      </c>
      <c r="J13" s="7" t="s">
        <v>11</v>
      </c>
      <c r="K13" s="8" t="s">
        <v>12</v>
      </c>
      <c r="L13" s="9"/>
      <c r="M13" s="7" t="s">
        <v>11</v>
      </c>
      <c r="N13" s="52" t="s">
        <v>13</v>
      </c>
      <c r="O13" s="52"/>
      <c r="P13" s="9"/>
      <c r="Q13" s="9" t="s">
        <v>14</v>
      </c>
      <c r="R13" s="9" t="s">
        <v>15</v>
      </c>
      <c r="S13" s="83"/>
      <c r="T13" s="78"/>
      <c r="U13" s="2"/>
    </row>
    <row r="14" spans="1:20" s="1" customFormat="true" ht="16.05" customHeight="true">
      <c r="A14" s="10"/>
      <c r="B14" s="30"/>
      <c r="C14" s="30"/>
      <c r="D14" s="30"/>
      <c r="E14" s="30"/>
      <c r="F14" s="30"/>
      <c r="G14" s="30"/>
      <c r="H14" s="30"/>
      <c r="I14" s="10"/>
      <c r="J14" s="10"/>
      <c r="K14" s="14"/>
      <c r="L14" s="15"/>
      <c r="M14" s="10"/>
      <c r="N14" s="53"/>
      <c r="O14" s="53"/>
      <c r="P14" s="15"/>
      <c r="Q14" s="15"/>
      <c r="R14" s="15"/>
      <c r="S14" s="83"/>
      <c r="T14" s="78"/>
    </row>
    <row r="15" spans="1:20" s="1" customFormat="true" ht="28.95" customHeight="true">
      <c r="A15" s="13"/>
      <c r="B15" s="30"/>
      <c r="C15" s="30"/>
      <c r="D15" s="30"/>
      <c r="E15" s="30"/>
      <c r="F15" s="30"/>
      <c r="G15" s="30"/>
      <c r="H15" s="30"/>
      <c r="I15" s="13"/>
      <c r="J15" s="13"/>
      <c r="K15" s="54" t="s">
        <v>16</v>
      </c>
      <c r="L15" s="55" t="s">
        <v>17</v>
      </c>
      <c r="M15" s="13"/>
      <c r="N15" s="55" t="s">
        <v>18</v>
      </c>
      <c r="O15" s="55" t="s">
        <v>19</v>
      </c>
      <c r="P15" s="55" t="s">
        <v>20</v>
      </c>
      <c r="Q15" s="55" t="s">
        <v>21</v>
      </c>
      <c r="R15" s="55" t="s">
        <v>22</v>
      </c>
      <c r="S15" s="83"/>
      <c r="T15" s="78"/>
    </row>
    <row r="16" spans="1:20" s="2" customFormat="true" ht="13.95" customHeight="true">
      <c r="A16" s="16">
        <v>2</v>
      </c>
      <c r="B16" s="17" t="str">
        <f>=DISPIMG("ID_7CB54A8194D545C9A9BB507A8D321EB6",1)</f>
        <v>=DISPIMG("ID_7CB54A8194D545C9A9BB507A8D321EB6",1)</v>
      </c>
      <c r="C16" s="18" t="s">
        <v>149</v>
      </c>
      <c r="D16" s="18" t="s">
        <v>147</v>
      </c>
      <c r="E16" s="19"/>
      <c r="F16" s="19"/>
      <c r="G16" s="20" t="s">
        <v>150</v>
      </c>
      <c r="H16" s="21" t="str">
        <f>=DISPIMG("ID_D5F50DE3E3FC49929A0D8AAA17B7A670",1)</f>
        <v>=DISPIMG("ID_D5F50DE3E3FC49929A0D8AAA17B7A670",1)</v>
      </c>
      <c r="I16" s="56">
        <v>21.89</v>
      </c>
      <c r="J16" s="57" t="s">
        <v>26</v>
      </c>
      <c r="K16" s="23">
        <v>178</v>
      </c>
      <c r="L16" s="58">
        <f>I16*K16</f>
        <v>3896.42</v>
      </c>
      <c r="M16" s="57" t="s">
        <v>26</v>
      </c>
      <c r="N16" s="23">
        <v>0</v>
      </c>
      <c r="O16" s="23">
        <v>33</v>
      </c>
      <c r="P16" s="23">
        <f t="shared" ref="P16:P21" si="2">MAX(0,K16-O16)</f>
        <v>145</v>
      </c>
      <c r="Q16" s="23">
        <v>3</v>
      </c>
      <c r="R16" s="23"/>
      <c r="T16" s="79"/>
    </row>
    <row r="17" spans="1:20" s="2" customFormat="true">
      <c r="A17" s="16"/>
      <c r="B17" s="16"/>
      <c r="C17" s="22"/>
      <c r="D17" s="22"/>
      <c r="E17" s="23"/>
      <c r="F17" s="23"/>
      <c r="G17" s="20"/>
      <c r="H17" s="21"/>
      <c r="I17" s="59"/>
      <c r="J17" s="57" t="s">
        <v>27</v>
      </c>
      <c r="K17" s="23">
        <v>276</v>
      </c>
      <c r="L17" s="58">
        <f>I16*K17</f>
        <v>6041.64</v>
      </c>
      <c r="M17" s="57" t="s">
        <v>27</v>
      </c>
      <c r="N17" s="23">
        <v>0</v>
      </c>
      <c r="O17" s="23">
        <v>46</v>
      </c>
      <c r="P17" s="23">
        <f t="shared" si="2"/>
        <v>230</v>
      </c>
      <c r="Q17" s="23">
        <v>5</v>
      </c>
      <c r="R17" s="23"/>
      <c r="T17" s="79"/>
    </row>
    <row r="18" spans="1:20" s="2" customFormat="true">
      <c r="A18" s="16"/>
      <c r="B18" s="16"/>
      <c r="C18" s="22"/>
      <c r="D18" s="22"/>
      <c r="E18" s="23"/>
      <c r="F18" s="23"/>
      <c r="G18" s="20"/>
      <c r="H18" s="21"/>
      <c r="I18" s="59"/>
      <c r="J18" s="57" t="s">
        <v>28</v>
      </c>
      <c r="K18" s="23">
        <v>537</v>
      </c>
      <c r="L18" s="58">
        <f>I16*K18</f>
        <v>11754.93</v>
      </c>
      <c r="M18" s="57" t="s">
        <v>28</v>
      </c>
      <c r="N18" s="23">
        <v>0</v>
      </c>
      <c r="O18" s="23">
        <v>30</v>
      </c>
      <c r="P18" s="23">
        <f t="shared" si="2"/>
        <v>507</v>
      </c>
      <c r="Q18" s="23">
        <v>5</v>
      </c>
      <c r="R18" s="23"/>
      <c r="T18" s="79"/>
    </row>
    <row r="19" spans="1:20" s="2" customFormat="true">
      <c r="A19" s="16"/>
      <c r="B19" s="16"/>
      <c r="C19" s="22"/>
      <c r="D19" s="22"/>
      <c r="E19" s="23"/>
      <c r="F19" s="23"/>
      <c r="G19" s="20"/>
      <c r="H19" s="21"/>
      <c r="I19" s="59"/>
      <c r="J19" s="57" t="s">
        <v>29</v>
      </c>
      <c r="K19" s="23">
        <v>428</v>
      </c>
      <c r="L19" s="58">
        <f>I16*K19</f>
        <v>9368.92</v>
      </c>
      <c r="M19" s="57" t="s">
        <v>29</v>
      </c>
      <c r="N19" s="23">
        <v>0</v>
      </c>
      <c r="O19" s="23">
        <v>33</v>
      </c>
      <c r="P19" s="23">
        <f t="shared" si="2"/>
        <v>395</v>
      </c>
      <c r="Q19" s="23">
        <v>9</v>
      </c>
      <c r="R19" s="23"/>
      <c r="T19" s="79"/>
    </row>
    <row r="20" spans="1:20" s="2" customFormat="true">
      <c r="A20" s="16"/>
      <c r="B20" s="16"/>
      <c r="C20" s="22"/>
      <c r="D20" s="22"/>
      <c r="E20" s="23"/>
      <c r="F20" s="23"/>
      <c r="G20" s="20"/>
      <c r="H20" s="21"/>
      <c r="I20" s="59"/>
      <c r="J20" s="57" t="s">
        <v>30</v>
      </c>
      <c r="K20" s="23">
        <v>338</v>
      </c>
      <c r="L20" s="58">
        <f>I16*K20</f>
        <v>7398.82</v>
      </c>
      <c r="M20" s="57" t="s">
        <v>30</v>
      </c>
      <c r="N20" s="23">
        <v>0</v>
      </c>
      <c r="O20" s="23">
        <v>38</v>
      </c>
      <c r="P20" s="23">
        <f t="shared" si="2"/>
        <v>300</v>
      </c>
      <c r="Q20" s="23">
        <v>3</v>
      </c>
      <c r="R20" s="23"/>
      <c r="T20" s="79"/>
    </row>
    <row r="21" spans="1:20" s="2" customFormat="true">
      <c r="A21" s="16"/>
      <c r="B21" s="16"/>
      <c r="C21" s="22"/>
      <c r="D21" s="22"/>
      <c r="E21" s="23"/>
      <c r="F21" s="23"/>
      <c r="G21" s="20"/>
      <c r="H21" s="21"/>
      <c r="I21" s="60"/>
      <c r="J21" s="23" t="s">
        <v>31</v>
      </c>
      <c r="K21" s="23">
        <v>215</v>
      </c>
      <c r="L21" s="58">
        <f>I16*K21</f>
        <v>4706.35</v>
      </c>
      <c r="M21" s="23" t="s">
        <v>31</v>
      </c>
      <c r="N21" s="23">
        <v>0</v>
      </c>
      <c r="O21" s="23">
        <v>21</v>
      </c>
      <c r="P21" s="23">
        <f t="shared" si="2"/>
        <v>194</v>
      </c>
      <c r="Q21" s="23">
        <v>5</v>
      </c>
      <c r="R21" s="23"/>
      <c r="T21" s="79"/>
    </row>
    <row r="22" spans="1:20" s="2" customFormat="true">
      <c r="A22" s="24"/>
      <c r="B22" s="24"/>
      <c r="C22" s="25"/>
      <c r="D22" s="25"/>
      <c r="E22" s="23"/>
      <c r="F22" s="23"/>
      <c r="G22" s="26"/>
      <c r="H22" s="27"/>
      <c r="I22" s="62"/>
      <c r="J22" s="61" t="s">
        <v>32</v>
      </c>
      <c r="K22" s="64">
        <f t="shared" ref="K22:N22" si="3">SUM(K16:K21)</f>
        <v>1972</v>
      </c>
      <c r="L22" s="80">
        <f t="shared" si="3"/>
        <v>43167.08</v>
      </c>
      <c r="M22" s="61" t="s">
        <v>32</v>
      </c>
      <c r="N22" s="62">
        <f t="shared" si="3"/>
        <v>0</v>
      </c>
      <c r="O22" s="62" cm="1">
        <f t="array" ref="O22">SUMPRODUCT(--(O16:O21))</f>
        <v>201</v>
      </c>
      <c r="P22" s="64" cm="1">
        <f t="array" ref="P22">SUMPRODUCT(--(P16:P21))</f>
        <v>1771</v>
      </c>
      <c r="Q22" s="64">
        <f>SUM(Q16:Q21)</f>
        <v>30</v>
      </c>
      <c r="R22" s="64">
        <f>SUM(R16:R21)</f>
        <v>0</v>
      </c>
      <c r="T22" s="79"/>
    </row>
    <row r="23" spans="1:20" s="2" customFormat="true" ht="17.4" customHeight="true">
      <c r="A23" s="28"/>
      <c r="B23" s="29"/>
      <c r="C23" s="29"/>
      <c r="D23" s="29"/>
      <c r="E23" s="29"/>
      <c r="F23" s="29"/>
      <c r="G23" s="29"/>
      <c r="H23" s="29"/>
      <c r="I23" s="29"/>
      <c r="J23" s="29"/>
      <c r="K23" s="29"/>
      <c r="L23" s="29"/>
      <c r="M23" s="29"/>
      <c r="N23" s="29"/>
      <c r="O23" s="29"/>
      <c r="P23" s="29"/>
      <c r="Q23" s="65"/>
      <c r="R23" s="65"/>
      <c r="T23" s="79"/>
    </row>
    <row r="24" spans="1:20" s="1" customFormat="true" ht="10.95" customHeight="true">
      <c r="A24" s="7" t="s">
        <v>3</v>
      </c>
      <c r="B24" s="30" t="s">
        <v>4</v>
      </c>
      <c r="C24" s="30" t="s">
        <v>5</v>
      </c>
      <c r="D24" s="30" t="s">
        <v>6</v>
      </c>
      <c r="E24" s="30" t="s">
        <v>7</v>
      </c>
      <c r="F24" s="30" t="s">
        <v>8</v>
      </c>
      <c r="G24" s="30" t="s">
        <v>9</v>
      </c>
      <c r="H24" s="30"/>
      <c r="I24" s="7" t="s">
        <v>10</v>
      </c>
      <c r="J24" s="7" t="s">
        <v>11</v>
      </c>
      <c r="K24" s="8" t="s">
        <v>12</v>
      </c>
      <c r="L24" s="9"/>
      <c r="M24" s="7" t="s">
        <v>11</v>
      </c>
      <c r="N24" s="52" t="s">
        <v>13</v>
      </c>
      <c r="O24" s="52"/>
      <c r="P24" s="9"/>
      <c r="Q24" s="9" t="s">
        <v>14</v>
      </c>
      <c r="R24" s="9" t="s">
        <v>15</v>
      </c>
      <c r="S24" s="83"/>
      <c r="T24" s="78"/>
    </row>
    <row r="25" spans="1:20" s="1" customFormat="true" ht="16.05" customHeight="true">
      <c r="A25" s="10"/>
      <c r="B25" s="30"/>
      <c r="C25" s="30"/>
      <c r="D25" s="30"/>
      <c r="E25" s="30"/>
      <c r="F25" s="30"/>
      <c r="G25" s="30"/>
      <c r="H25" s="30"/>
      <c r="I25" s="10"/>
      <c r="J25" s="10"/>
      <c r="K25" s="14"/>
      <c r="L25" s="15"/>
      <c r="M25" s="10"/>
      <c r="N25" s="53"/>
      <c r="O25" s="53"/>
      <c r="P25" s="15"/>
      <c r="Q25" s="15"/>
      <c r="R25" s="15"/>
      <c r="S25" s="83"/>
      <c r="T25" s="78"/>
    </row>
    <row r="26" spans="1:20" s="1" customFormat="true" ht="28.95" customHeight="true">
      <c r="A26" s="13"/>
      <c r="B26" s="30"/>
      <c r="C26" s="30"/>
      <c r="D26" s="30"/>
      <c r="E26" s="30"/>
      <c r="F26" s="30"/>
      <c r="G26" s="30"/>
      <c r="H26" s="30"/>
      <c r="I26" s="13"/>
      <c r="J26" s="13"/>
      <c r="K26" s="54" t="s">
        <v>16</v>
      </c>
      <c r="L26" s="55" t="s">
        <v>17</v>
      </c>
      <c r="M26" s="13"/>
      <c r="N26" s="55" t="s">
        <v>18</v>
      </c>
      <c r="O26" s="55" t="s">
        <v>19</v>
      </c>
      <c r="P26" s="55" t="s">
        <v>20</v>
      </c>
      <c r="Q26" s="55" t="s">
        <v>21</v>
      </c>
      <c r="R26" s="55" t="s">
        <v>22</v>
      </c>
      <c r="S26" s="83"/>
      <c r="T26" s="78"/>
    </row>
    <row r="27" spans="1:20" s="2" customFormat="true" ht="13.95" customHeight="true">
      <c r="A27" s="16">
        <v>3</v>
      </c>
      <c r="B27" s="17" t="str">
        <f>=DISPIMG("ID_9643D91088D3440AB400941C171BAEC3",1)</f>
        <v>=DISPIMG("ID_9643D91088D3440AB400941C171BAEC3",1)</v>
      </c>
      <c r="C27" s="18" t="s">
        <v>151</v>
      </c>
      <c r="D27" s="18" t="s">
        <v>147</v>
      </c>
      <c r="E27" s="19"/>
      <c r="F27" s="19"/>
      <c r="G27" s="20" t="s">
        <v>34</v>
      </c>
      <c r="H27" s="21" t="str">
        <f>=DISPIMG("ID_154F0C5860F84993BFC6A2CE57C40C05",1)</f>
        <v>=DISPIMG("ID_154F0C5860F84993BFC6A2CE57C40C05",1)</v>
      </c>
      <c r="I27" s="56">
        <v>21.89</v>
      </c>
      <c r="J27" s="57" t="s">
        <v>26</v>
      </c>
      <c r="K27" s="23">
        <v>214</v>
      </c>
      <c r="L27" s="58">
        <f>I27*K27</f>
        <v>4684.46</v>
      </c>
      <c r="M27" s="57" t="s">
        <v>26</v>
      </c>
      <c r="N27" s="23">
        <v>1</v>
      </c>
      <c r="O27" s="23">
        <v>71</v>
      </c>
      <c r="P27" s="23">
        <f t="shared" ref="P27:P32" si="4">MAX(0,K27-O27)</f>
        <v>143</v>
      </c>
      <c r="Q27" s="23">
        <v>2</v>
      </c>
      <c r="R27" s="23"/>
      <c r="T27" s="79"/>
    </row>
    <row r="28" spans="1:20" s="2" customFormat="true">
      <c r="A28" s="16"/>
      <c r="B28" s="16"/>
      <c r="C28" s="22"/>
      <c r="D28" s="22"/>
      <c r="E28" s="23"/>
      <c r="F28" s="23"/>
      <c r="G28" s="20"/>
      <c r="H28" s="21"/>
      <c r="I28" s="59"/>
      <c r="J28" s="57" t="s">
        <v>27</v>
      </c>
      <c r="K28" s="23">
        <v>349</v>
      </c>
      <c r="L28" s="58">
        <f>I27*K28</f>
        <v>7639.61</v>
      </c>
      <c r="M28" s="57" t="s">
        <v>27</v>
      </c>
      <c r="N28" s="23">
        <v>0</v>
      </c>
      <c r="O28" s="23">
        <v>89</v>
      </c>
      <c r="P28" s="23">
        <f t="shared" si="4"/>
        <v>260</v>
      </c>
      <c r="Q28" s="23">
        <v>8</v>
      </c>
      <c r="R28" s="23"/>
      <c r="T28" s="79"/>
    </row>
    <row r="29" spans="1:20" s="2" customFormat="true">
      <c r="A29" s="16"/>
      <c r="B29" s="16"/>
      <c r="C29" s="22"/>
      <c r="D29" s="22"/>
      <c r="E29" s="23"/>
      <c r="F29" s="23"/>
      <c r="G29" s="20"/>
      <c r="H29" s="21"/>
      <c r="I29" s="59"/>
      <c r="J29" s="57" t="s">
        <v>28</v>
      </c>
      <c r="K29" s="23">
        <v>568</v>
      </c>
      <c r="L29" s="58">
        <f>I27*K29</f>
        <v>12433.52</v>
      </c>
      <c r="M29" s="57" t="s">
        <v>28</v>
      </c>
      <c r="N29" s="23">
        <v>2</v>
      </c>
      <c r="O29" s="23">
        <v>111</v>
      </c>
      <c r="P29" s="23">
        <f t="shared" si="4"/>
        <v>457</v>
      </c>
      <c r="Q29" s="23">
        <v>23</v>
      </c>
      <c r="R29" s="23"/>
      <c r="T29" s="79"/>
    </row>
    <row r="30" spans="1:20" s="2" customFormat="true">
      <c r="A30" s="16"/>
      <c r="B30" s="16"/>
      <c r="C30" s="22"/>
      <c r="D30" s="22"/>
      <c r="E30" s="23"/>
      <c r="F30" s="23"/>
      <c r="G30" s="20"/>
      <c r="H30" s="21"/>
      <c r="I30" s="59"/>
      <c r="J30" s="57" t="s">
        <v>29</v>
      </c>
      <c r="K30" s="23">
        <v>446</v>
      </c>
      <c r="L30" s="58">
        <f>I27*K30</f>
        <v>9762.94</v>
      </c>
      <c r="M30" s="57" t="s">
        <v>29</v>
      </c>
      <c r="N30" s="23">
        <v>0</v>
      </c>
      <c r="O30" s="23">
        <v>68</v>
      </c>
      <c r="P30" s="23">
        <f t="shared" si="4"/>
        <v>378</v>
      </c>
      <c r="Q30" s="23">
        <v>9</v>
      </c>
      <c r="R30" s="23"/>
      <c r="T30" s="79"/>
    </row>
    <row r="31" spans="1:20" s="2" customFormat="true">
      <c r="A31" s="16"/>
      <c r="B31" s="16"/>
      <c r="C31" s="22"/>
      <c r="D31" s="22"/>
      <c r="E31" s="23"/>
      <c r="F31" s="23"/>
      <c r="G31" s="20"/>
      <c r="H31" s="21"/>
      <c r="I31" s="59"/>
      <c r="J31" s="57" t="s">
        <v>30</v>
      </c>
      <c r="K31" s="23">
        <v>346</v>
      </c>
      <c r="L31" s="58">
        <f>I27*K31</f>
        <v>7573.94</v>
      </c>
      <c r="M31" s="57" t="s">
        <v>30</v>
      </c>
      <c r="N31" s="23">
        <v>1</v>
      </c>
      <c r="O31" s="23">
        <v>55</v>
      </c>
      <c r="P31" s="23">
        <f t="shared" si="4"/>
        <v>291</v>
      </c>
      <c r="Q31" s="23">
        <v>6</v>
      </c>
      <c r="R31" s="23"/>
      <c r="T31" s="79"/>
    </row>
    <row r="32" spans="1:20" s="2" customFormat="true">
      <c r="A32" s="16"/>
      <c r="B32" s="16"/>
      <c r="C32" s="22"/>
      <c r="D32" s="22"/>
      <c r="E32" s="23"/>
      <c r="F32" s="23"/>
      <c r="G32" s="20"/>
      <c r="H32" s="21"/>
      <c r="I32" s="60"/>
      <c r="J32" s="23" t="s">
        <v>31</v>
      </c>
      <c r="K32" s="23">
        <v>182</v>
      </c>
      <c r="L32" s="58">
        <f>I27*K32</f>
        <v>3983.98</v>
      </c>
      <c r="M32" s="23" t="s">
        <v>31</v>
      </c>
      <c r="N32" s="23">
        <v>0</v>
      </c>
      <c r="O32" s="23">
        <v>41</v>
      </c>
      <c r="P32" s="23">
        <f t="shared" si="4"/>
        <v>141</v>
      </c>
      <c r="Q32" s="23">
        <v>7</v>
      </c>
      <c r="R32" s="23"/>
      <c r="T32" s="79"/>
    </row>
    <row r="33" spans="1:20" s="2" customFormat="true">
      <c r="A33" s="24"/>
      <c r="B33" s="24"/>
      <c r="C33" s="25"/>
      <c r="D33" s="25"/>
      <c r="E33" s="23"/>
      <c r="F33" s="23"/>
      <c r="G33" s="26"/>
      <c r="H33" s="27"/>
      <c r="I33" s="62"/>
      <c r="J33" s="61" t="s">
        <v>32</v>
      </c>
      <c r="K33" s="62">
        <f t="shared" ref="K33:N33" si="5">SUM(K27:K32)</f>
        <v>2105</v>
      </c>
      <c r="L33" s="63">
        <f t="shared" si="5"/>
        <v>46078.45</v>
      </c>
      <c r="M33" s="61" t="s">
        <v>32</v>
      </c>
      <c r="N33" s="62">
        <f t="shared" si="5"/>
        <v>4</v>
      </c>
      <c r="O33" s="62" cm="1">
        <f t="array" ref="O33">SUMPRODUCT(--(O27:O32))</f>
        <v>435</v>
      </c>
      <c r="P33" s="64" cm="1">
        <f t="array" ref="P33">SUMPRODUCT(--(P27:P32))</f>
        <v>1670</v>
      </c>
      <c r="Q33" s="64">
        <f>SUM(Q27:Q32)</f>
        <v>55</v>
      </c>
      <c r="R33" s="64">
        <f>SUM(R27:R32)</f>
        <v>0</v>
      </c>
      <c r="T33" s="79"/>
    </row>
    <row r="34" spans="1:20" s="2" customFormat="true" ht="17.4" customHeight="true">
      <c r="A34" s="28"/>
      <c r="B34" s="29"/>
      <c r="C34" s="29"/>
      <c r="D34" s="29"/>
      <c r="E34" s="29"/>
      <c r="F34" s="29"/>
      <c r="G34" s="29"/>
      <c r="H34" s="29"/>
      <c r="I34" s="29"/>
      <c r="J34" s="29"/>
      <c r="K34" s="29"/>
      <c r="L34" s="29"/>
      <c r="M34" s="29"/>
      <c r="N34" s="29"/>
      <c r="O34" s="29"/>
      <c r="P34" s="29"/>
      <c r="Q34" s="29"/>
      <c r="R34" s="29"/>
      <c r="T34" s="79"/>
    </row>
    <row r="35" spans="1:20" s="1" customFormat="true" ht="10.95" customHeight="true">
      <c r="A35" s="7" t="s">
        <v>3</v>
      </c>
      <c r="B35" s="30" t="s">
        <v>4</v>
      </c>
      <c r="C35" s="30" t="s">
        <v>5</v>
      </c>
      <c r="D35" s="30" t="s">
        <v>6</v>
      </c>
      <c r="E35" s="30" t="s">
        <v>7</v>
      </c>
      <c r="F35" s="30" t="s">
        <v>8</v>
      </c>
      <c r="G35" s="30" t="s">
        <v>9</v>
      </c>
      <c r="H35" s="30"/>
      <c r="I35" s="7" t="s">
        <v>10</v>
      </c>
      <c r="J35" s="7" t="s">
        <v>11</v>
      </c>
      <c r="K35" s="8" t="s">
        <v>12</v>
      </c>
      <c r="L35" s="9"/>
      <c r="M35" s="7" t="s">
        <v>11</v>
      </c>
      <c r="N35" s="52" t="s">
        <v>13</v>
      </c>
      <c r="O35" s="52"/>
      <c r="P35" s="9"/>
      <c r="Q35" s="9" t="s">
        <v>14</v>
      </c>
      <c r="R35" s="9" t="s">
        <v>15</v>
      </c>
      <c r="S35" s="83"/>
      <c r="T35" s="78"/>
    </row>
    <row r="36" spans="1:20" s="1" customFormat="true" ht="16.05" customHeight="true">
      <c r="A36" s="10"/>
      <c r="B36" s="30"/>
      <c r="C36" s="30"/>
      <c r="D36" s="30"/>
      <c r="E36" s="30"/>
      <c r="F36" s="30"/>
      <c r="G36" s="30"/>
      <c r="H36" s="30"/>
      <c r="I36" s="10"/>
      <c r="J36" s="10"/>
      <c r="K36" s="14"/>
      <c r="L36" s="15"/>
      <c r="M36" s="10"/>
      <c r="N36" s="53"/>
      <c r="O36" s="53"/>
      <c r="P36" s="15"/>
      <c r="Q36" s="15"/>
      <c r="R36" s="15"/>
      <c r="S36" s="83"/>
      <c r="T36" s="78"/>
    </row>
    <row r="37" spans="1:20" s="1" customFormat="true" ht="28.95" customHeight="true">
      <c r="A37" s="13"/>
      <c r="B37" s="30"/>
      <c r="C37" s="30"/>
      <c r="D37" s="30"/>
      <c r="E37" s="30"/>
      <c r="F37" s="30"/>
      <c r="G37" s="30"/>
      <c r="H37" s="30"/>
      <c r="I37" s="13"/>
      <c r="J37" s="13"/>
      <c r="K37" s="54" t="s">
        <v>16</v>
      </c>
      <c r="L37" s="55" t="s">
        <v>17</v>
      </c>
      <c r="M37" s="13"/>
      <c r="N37" s="55" t="s">
        <v>18</v>
      </c>
      <c r="O37" s="55" t="s">
        <v>19</v>
      </c>
      <c r="P37" s="55" t="s">
        <v>20</v>
      </c>
      <c r="Q37" s="55" t="s">
        <v>21</v>
      </c>
      <c r="R37" s="55" t="s">
        <v>22</v>
      </c>
      <c r="S37" s="83"/>
      <c r="T37" s="78"/>
    </row>
    <row r="38" spans="1:20" s="2" customFormat="true" ht="13.95" customHeight="true">
      <c r="A38" s="16">
        <v>4</v>
      </c>
      <c r="B38" s="17" t="str">
        <f>=DISPIMG("ID_FE6972EC15E648789564F1A47005DEC8",1)</f>
        <v>=DISPIMG("ID_FE6972EC15E648789564F1A47005DEC8",1)</v>
      </c>
      <c r="C38" s="18" t="s">
        <v>152</v>
      </c>
      <c r="D38" s="18" t="s">
        <v>147</v>
      </c>
      <c r="E38" s="19"/>
      <c r="F38" s="19"/>
      <c r="G38" s="20" t="s">
        <v>153</v>
      </c>
      <c r="H38" s="21" t="str">
        <f>=DISPIMG("ID_648E220923A8463FA0B0D0684563C4B2",1)</f>
        <v>=DISPIMG("ID_648E220923A8463FA0B0D0684563C4B2",1)</v>
      </c>
      <c r="I38" s="56">
        <v>21.89</v>
      </c>
      <c r="J38" s="57" t="s">
        <v>26</v>
      </c>
      <c r="K38" s="23">
        <v>15</v>
      </c>
      <c r="L38" s="58">
        <f>I38*K38</f>
        <v>328.35</v>
      </c>
      <c r="M38" s="57" t="s">
        <v>26</v>
      </c>
      <c r="N38" s="23">
        <v>0</v>
      </c>
      <c r="O38" s="23">
        <v>17</v>
      </c>
      <c r="P38" s="23">
        <f t="shared" ref="P38:P43" si="6">MAX(0,K38-O38)</f>
        <v>0</v>
      </c>
      <c r="Q38" s="23">
        <v>2</v>
      </c>
      <c r="R38" s="23"/>
      <c r="T38" s="79"/>
    </row>
    <row r="39" spans="1:20" s="2" customFormat="true">
      <c r="A39" s="16"/>
      <c r="B39" s="16"/>
      <c r="C39" s="22"/>
      <c r="D39" s="22"/>
      <c r="E39" s="23"/>
      <c r="F39" s="23"/>
      <c r="G39" s="20"/>
      <c r="H39" s="21"/>
      <c r="I39" s="59"/>
      <c r="J39" s="57" t="s">
        <v>27</v>
      </c>
      <c r="K39" s="23">
        <v>30</v>
      </c>
      <c r="L39" s="58">
        <f>I38*K39</f>
        <v>656.7</v>
      </c>
      <c r="M39" s="57" t="s">
        <v>27</v>
      </c>
      <c r="N39" s="23">
        <v>0</v>
      </c>
      <c r="O39" s="23">
        <v>21</v>
      </c>
      <c r="P39" s="23">
        <f t="shared" si="6"/>
        <v>9</v>
      </c>
      <c r="Q39" s="23">
        <v>0</v>
      </c>
      <c r="R39" s="23"/>
      <c r="T39" s="79"/>
    </row>
    <row r="40" spans="1:20" s="2" customFormat="true">
      <c r="A40" s="16"/>
      <c r="B40" s="16"/>
      <c r="C40" s="22"/>
      <c r="D40" s="22"/>
      <c r="E40" s="23"/>
      <c r="F40" s="23"/>
      <c r="G40" s="20"/>
      <c r="H40" s="21"/>
      <c r="I40" s="59"/>
      <c r="J40" s="57" t="s">
        <v>28</v>
      </c>
      <c r="K40" s="23">
        <v>41</v>
      </c>
      <c r="L40" s="58">
        <f>I38*K40</f>
        <v>897.49</v>
      </c>
      <c r="M40" s="57" t="s">
        <v>28</v>
      </c>
      <c r="N40" s="23">
        <v>0</v>
      </c>
      <c r="O40" s="23">
        <v>14</v>
      </c>
      <c r="P40" s="23">
        <f t="shared" si="6"/>
        <v>27</v>
      </c>
      <c r="Q40" s="23">
        <v>1</v>
      </c>
      <c r="R40" s="23"/>
      <c r="T40" s="79"/>
    </row>
    <row r="41" spans="1:20" s="2" customFormat="true">
      <c r="A41" s="16"/>
      <c r="B41" s="16"/>
      <c r="C41" s="22"/>
      <c r="D41" s="22"/>
      <c r="E41" s="23"/>
      <c r="F41" s="23"/>
      <c r="G41" s="20"/>
      <c r="H41" s="21"/>
      <c r="I41" s="59"/>
      <c r="J41" s="57" t="s">
        <v>29</v>
      </c>
      <c r="K41" s="23">
        <v>28</v>
      </c>
      <c r="L41" s="58">
        <f>I38*K41</f>
        <v>612.92</v>
      </c>
      <c r="M41" s="57" t="s">
        <v>29</v>
      </c>
      <c r="N41" s="23">
        <v>1</v>
      </c>
      <c r="O41" s="23">
        <v>16</v>
      </c>
      <c r="P41" s="23">
        <f t="shared" si="6"/>
        <v>12</v>
      </c>
      <c r="Q41" s="23">
        <v>3</v>
      </c>
      <c r="R41" s="23"/>
      <c r="T41" s="79"/>
    </row>
    <row r="42" spans="1:20" s="2" customFormat="true">
      <c r="A42" s="16"/>
      <c r="B42" s="16"/>
      <c r="C42" s="22"/>
      <c r="D42" s="22"/>
      <c r="E42" s="23"/>
      <c r="F42" s="23"/>
      <c r="G42" s="20"/>
      <c r="H42" s="21"/>
      <c r="I42" s="59"/>
      <c r="J42" s="57" t="s">
        <v>30</v>
      </c>
      <c r="K42" s="23">
        <v>16</v>
      </c>
      <c r="L42" s="58">
        <f>I38*K42</f>
        <v>350.24</v>
      </c>
      <c r="M42" s="57" t="s">
        <v>30</v>
      </c>
      <c r="N42" s="23">
        <v>0</v>
      </c>
      <c r="O42" s="23">
        <v>11</v>
      </c>
      <c r="P42" s="23">
        <f t="shared" si="6"/>
        <v>5</v>
      </c>
      <c r="Q42" s="23">
        <v>3</v>
      </c>
      <c r="R42" s="23"/>
      <c r="T42" s="79"/>
    </row>
    <row r="43" spans="1:20" s="2" customFormat="true">
      <c r="A43" s="16"/>
      <c r="B43" s="16"/>
      <c r="C43" s="22"/>
      <c r="D43" s="22"/>
      <c r="E43" s="23"/>
      <c r="F43" s="23"/>
      <c r="G43" s="20"/>
      <c r="H43" s="21"/>
      <c r="I43" s="60"/>
      <c r="J43" s="23" t="s">
        <v>31</v>
      </c>
      <c r="K43" s="23">
        <v>14</v>
      </c>
      <c r="L43" s="58">
        <f>I38*K43</f>
        <v>306.46</v>
      </c>
      <c r="M43" s="23" t="s">
        <v>31</v>
      </c>
      <c r="N43" s="23">
        <v>0</v>
      </c>
      <c r="O43" s="23">
        <v>10</v>
      </c>
      <c r="P43" s="23">
        <f t="shared" si="6"/>
        <v>4</v>
      </c>
      <c r="Q43" s="23">
        <v>3</v>
      </c>
      <c r="R43" s="23"/>
      <c r="T43" s="79"/>
    </row>
    <row r="44" spans="1:20" s="2" customFormat="true">
      <c r="A44" s="24"/>
      <c r="B44" s="24"/>
      <c r="C44" s="25"/>
      <c r="D44" s="25"/>
      <c r="E44" s="23"/>
      <c r="F44" s="23"/>
      <c r="G44" s="26"/>
      <c r="H44" s="27"/>
      <c r="I44" s="62"/>
      <c r="J44" s="61" t="s">
        <v>32</v>
      </c>
      <c r="K44" s="62">
        <f t="shared" ref="K44:N44" si="7">SUM(K38:K43)</f>
        <v>144</v>
      </c>
      <c r="L44" s="63">
        <f t="shared" si="7"/>
        <v>3152.16</v>
      </c>
      <c r="M44" s="61" t="s">
        <v>32</v>
      </c>
      <c r="N44" s="62">
        <f t="shared" si="7"/>
        <v>1</v>
      </c>
      <c r="O44" s="62" cm="1">
        <f t="array" ref="O44">SUMPRODUCT(--(O38:O43))</f>
        <v>89</v>
      </c>
      <c r="P44" s="64" cm="1">
        <f t="array" ref="P44">SUMPRODUCT(--(P38:P43))</f>
        <v>57</v>
      </c>
      <c r="Q44" s="64">
        <f>SUM(Q38:Q43)</f>
        <v>12</v>
      </c>
      <c r="R44" s="64">
        <f>SUM(R38:R43)</f>
        <v>0</v>
      </c>
      <c r="T44" s="79"/>
    </row>
    <row r="45" spans="1:20" s="2" customFormat="true" ht="17.4" customHeight="true">
      <c r="A45" s="28"/>
      <c r="B45" s="29"/>
      <c r="C45" s="29"/>
      <c r="D45" s="29"/>
      <c r="E45" s="29"/>
      <c r="F45" s="29"/>
      <c r="G45" s="29"/>
      <c r="H45" s="29"/>
      <c r="I45" s="29"/>
      <c r="J45" s="29"/>
      <c r="K45" s="29"/>
      <c r="L45" s="29"/>
      <c r="M45" s="29"/>
      <c r="N45" s="29"/>
      <c r="O45" s="29"/>
      <c r="P45" s="29"/>
      <c r="T45" s="79"/>
    </row>
    <row r="46" spans="1:20" s="1" customFormat="true" ht="10.95" customHeight="true">
      <c r="A46" s="7" t="s">
        <v>3</v>
      </c>
      <c r="B46" s="30" t="s">
        <v>4</v>
      </c>
      <c r="C46" s="30" t="s">
        <v>5</v>
      </c>
      <c r="D46" s="30" t="s">
        <v>6</v>
      </c>
      <c r="E46" s="30" t="s">
        <v>7</v>
      </c>
      <c r="F46" s="30" t="s">
        <v>8</v>
      </c>
      <c r="G46" s="30" t="s">
        <v>9</v>
      </c>
      <c r="H46" s="30"/>
      <c r="I46" s="7" t="s">
        <v>10</v>
      </c>
      <c r="J46" s="7" t="s">
        <v>11</v>
      </c>
      <c r="K46" s="8" t="s">
        <v>12</v>
      </c>
      <c r="L46" s="9"/>
      <c r="M46" s="7" t="s">
        <v>11</v>
      </c>
      <c r="N46" s="52" t="s">
        <v>13</v>
      </c>
      <c r="O46" s="52"/>
      <c r="P46" s="9"/>
      <c r="Q46" s="9" t="s">
        <v>14</v>
      </c>
      <c r="R46" s="9" t="s">
        <v>15</v>
      </c>
      <c r="S46" s="83"/>
      <c r="T46" s="78"/>
    </row>
    <row r="47" spans="1:20" s="1" customFormat="true" ht="16.05" customHeight="true">
      <c r="A47" s="10"/>
      <c r="B47" s="30"/>
      <c r="C47" s="30"/>
      <c r="D47" s="30"/>
      <c r="E47" s="30"/>
      <c r="F47" s="30"/>
      <c r="G47" s="30"/>
      <c r="H47" s="30"/>
      <c r="I47" s="10"/>
      <c r="J47" s="10"/>
      <c r="K47" s="14"/>
      <c r="L47" s="15"/>
      <c r="M47" s="10"/>
      <c r="N47" s="53"/>
      <c r="O47" s="53"/>
      <c r="P47" s="15"/>
      <c r="Q47" s="15"/>
      <c r="R47" s="15"/>
      <c r="S47" s="83"/>
      <c r="T47" s="78"/>
    </row>
    <row r="48" spans="1:20" s="1" customFormat="true" ht="28.95" customHeight="true">
      <c r="A48" s="13"/>
      <c r="B48" s="30"/>
      <c r="C48" s="30"/>
      <c r="D48" s="30"/>
      <c r="E48" s="30"/>
      <c r="F48" s="30"/>
      <c r="G48" s="30"/>
      <c r="H48" s="30"/>
      <c r="I48" s="13"/>
      <c r="J48" s="13"/>
      <c r="K48" s="54" t="s">
        <v>16</v>
      </c>
      <c r="L48" s="55" t="s">
        <v>17</v>
      </c>
      <c r="M48" s="13"/>
      <c r="N48" s="55" t="s">
        <v>18</v>
      </c>
      <c r="O48" s="55" t="s">
        <v>19</v>
      </c>
      <c r="P48" s="55" t="s">
        <v>20</v>
      </c>
      <c r="Q48" s="55" t="s">
        <v>21</v>
      </c>
      <c r="R48" s="55" t="s">
        <v>22</v>
      </c>
      <c r="S48" s="83"/>
      <c r="T48" s="78"/>
    </row>
    <row r="49" spans="1:20" s="2" customFormat="true" ht="13.95" customHeight="true">
      <c r="A49" s="16">
        <v>5</v>
      </c>
      <c r="B49" s="17" t="str">
        <f>=DISPIMG("ID_3751976AFAF448C4ABDF54276364EA25",1)</f>
        <v>=DISPIMG("ID_3751976AFAF448C4ABDF54276364EA25",1)</v>
      </c>
      <c r="C49" s="18" t="s">
        <v>154</v>
      </c>
      <c r="D49" s="18" t="s">
        <v>147</v>
      </c>
      <c r="E49" s="19"/>
      <c r="F49" s="19"/>
      <c r="G49" s="20" t="s">
        <v>155</v>
      </c>
      <c r="H49" s="21" t="str">
        <f>=DISPIMG("ID_FB19474EBEC64728BC87C532CEF6A7A4",1)</f>
        <v>=DISPIMG("ID_FB19474EBEC64728BC87C532CEF6A7A4",1)</v>
      </c>
      <c r="I49" s="56">
        <v>21.89</v>
      </c>
      <c r="J49" s="57" t="s">
        <v>26</v>
      </c>
      <c r="K49" s="23">
        <v>97</v>
      </c>
      <c r="L49" s="58">
        <f>I49*K49</f>
        <v>2123.33</v>
      </c>
      <c r="M49" s="57" t="s">
        <v>26</v>
      </c>
      <c r="N49" s="23">
        <v>0</v>
      </c>
      <c r="O49" s="23">
        <v>105</v>
      </c>
      <c r="P49" s="23">
        <f t="shared" ref="P49:P54" si="8">MAX(0,K49-O49)</f>
        <v>0</v>
      </c>
      <c r="Q49" s="23">
        <v>12</v>
      </c>
      <c r="R49" s="23"/>
      <c r="T49" s="79"/>
    </row>
    <row r="50" spans="1:20" s="2" customFormat="true">
      <c r="A50" s="16"/>
      <c r="B50" s="16"/>
      <c r="C50" s="22"/>
      <c r="D50" s="22"/>
      <c r="E50" s="23"/>
      <c r="F50" s="23"/>
      <c r="G50" s="20"/>
      <c r="H50" s="21"/>
      <c r="I50" s="59"/>
      <c r="J50" s="57" t="s">
        <v>27</v>
      </c>
      <c r="K50" s="23">
        <v>153</v>
      </c>
      <c r="L50" s="58">
        <f>I49*K50</f>
        <v>3349.17</v>
      </c>
      <c r="M50" s="57" t="s">
        <v>27</v>
      </c>
      <c r="N50" s="23">
        <v>0</v>
      </c>
      <c r="O50" s="23">
        <v>168</v>
      </c>
      <c r="P50" s="23">
        <f t="shared" si="8"/>
        <v>0</v>
      </c>
      <c r="Q50" s="23">
        <v>28</v>
      </c>
      <c r="R50" s="23"/>
      <c r="T50" s="79"/>
    </row>
    <row r="51" spans="1:20" s="2" customFormat="true">
      <c r="A51" s="16"/>
      <c r="B51" s="16"/>
      <c r="C51" s="22"/>
      <c r="D51" s="22"/>
      <c r="E51" s="23"/>
      <c r="F51" s="23"/>
      <c r="G51" s="20"/>
      <c r="H51" s="21"/>
      <c r="I51" s="59"/>
      <c r="J51" s="57" t="s">
        <v>28</v>
      </c>
      <c r="K51" s="23">
        <v>202</v>
      </c>
      <c r="L51" s="58">
        <f>I49*K51</f>
        <v>4421.78</v>
      </c>
      <c r="M51" s="57" t="s">
        <v>28</v>
      </c>
      <c r="N51" s="23">
        <v>0</v>
      </c>
      <c r="O51" s="23">
        <v>223</v>
      </c>
      <c r="P51" s="23">
        <f t="shared" si="8"/>
        <v>0</v>
      </c>
      <c r="Q51" s="23">
        <v>33</v>
      </c>
      <c r="R51" s="23"/>
      <c r="T51" s="79"/>
    </row>
    <row r="52" spans="1:20" s="2" customFormat="true">
      <c r="A52" s="16"/>
      <c r="B52" s="16"/>
      <c r="C52" s="22"/>
      <c r="D52" s="22"/>
      <c r="E52" s="23"/>
      <c r="F52" s="23"/>
      <c r="G52" s="20"/>
      <c r="H52" s="21"/>
      <c r="I52" s="59"/>
      <c r="J52" s="57" t="s">
        <v>29</v>
      </c>
      <c r="K52" s="23">
        <v>188</v>
      </c>
      <c r="L52" s="58">
        <f>I49*K52</f>
        <v>4115.32</v>
      </c>
      <c r="M52" s="57" t="s">
        <v>29</v>
      </c>
      <c r="N52" s="23">
        <v>0</v>
      </c>
      <c r="O52" s="23">
        <v>138</v>
      </c>
      <c r="P52" s="23">
        <f t="shared" si="8"/>
        <v>50</v>
      </c>
      <c r="Q52" s="23">
        <v>27</v>
      </c>
      <c r="R52" s="23"/>
      <c r="T52" s="79"/>
    </row>
    <row r="53" spans="1:20" s="2" customFormat="true">
      <c r="A53" s="16"/>
      <c r="B53" s="16"/>
      <c r="C53" s="22"/>
      <c r="D53" s="22"/>
      <c r="E53" s="23"/>
      <c r="F53" s="23"/>
      <c r="G53" s="20"/>
      <c r="H53" s="21"/>
      <c r="I53" s="59"/>
      <c r="J53" s="57" t="s">
        <v>30</v>
      </c>
      <c r="K53" s="23">
        <v>138</v>
      </c>
      <c r="L53" s="58">
        <f>I49*K53</f>
        <v>3020.82</v>
      </c>
      <c r="M53" s="57" t="s">
        <v>30</v>
      </c>
      <c r="N53" s="23">
        <v>0</v>
      </c>
      <c r="O53" s="23">
        <v>70</v>
      </c>
      <c r="P53" s="23">
        <f t="shared" si="8"/>
        <v>68</v>
      </c>
      <c r="Q53" s="23">
        <v>11</v>
      </c>
      <c r="R53" s="23"/>
      <c r="T53" s="79"/>
    </row>
    <row r="54" spans="1:20" s="2" customFormat="true">
      <c r="A54" s="16"/>
      <c r="B54" s="16"/>
      <c r="C54" s="22"/>
      <c r="D54" s="22"/>
      <c r="E54" s="23"/>
      <c r="F54" s="23"/>
      <c r="G54" s="20"/>
      <c r="H54" s="21"/>
      <c r="I54" s="60"/>
      <c r="J54" s="23" t="s">
        <v>31</v>
      </c>
      <c r="K54" s="23">
        <v>93</v>
      </c>
      <c r="L54" s="58">
        <f>I49*K54</f>
        <v>2035.77</v>
      </c>
      <c r="M54" s="23" t="s">
        <v>31</v>
      </c>
      <c r="N54" s="23">
        <v>0</v>
      </c>
      <c r="O54" s="23">
        <v>81</v>
      </c>
      <c r="P54" s="23">
        <f t="shared" si="8"/>
        <v>12</v>
      </c>
      <c r="Q54" s="23">
        <v>12</v>
      </c>
      <c r="R54" s="23"/>
      <c r="T54" s="79"/>
    </row>
    <row r="55" spans="1:20" s="2" customFormat="true">
      <c r="A55" s="24"/>
      <c r="B55" s="24"/>
      <c r="C55" s="25"/>
      <c r="D55" s="25"/>
      <c r="E55" s="23"/>
      <c r="F55" s="23"/>
      <c r="G55" s="26"/>
      <c r="H55" s="27"/>
      <c r="I55" s="62"/>
      <c r="J55" s="61" t="s">
        <v>32</v>
      </c>
      <c r="K55" s="62">
        <f t="shared" ref="K55:N55" si="9">SUM(K49:K54)</f>
        <v>871</v>
      </c>
      <c r="L55" s="63">
        <f t="shared" si="9"/>
        <v>19066.19</v>
      </c>
      <c r="M55" s="61" t="s">
        <v>32</v>
      </c>
      <c r="N55" s="62">
        <f t="shared" si="9"/>
        <v>0</v>
      </c>
      <c r="O55" s="62" cm="1">
        <f t="array" ref="O55">SUMPRODUCT(--(O49:O54))</f>
        <v>785</v>
      </c>
      <c r="P55" s="64" cm="1">
        <f t="array" ref="P55">SUMPRODUCT(--(P49:P54))</f>
        <v>130</v>
      </c>
      <c r="Q55" s="64">
        <f>SUM(Q49:Q54)</f>
        <v>123</v>
      </c>
      <c r="R55" s="64">
        <f>SUM(R49:R54)</f>
        <v>0</v>
      </c>
      <c r="T55" s="79"/>
    </row>
    <row r="56" spans="1:20" s="2" customFormat="true" ht="17.4" customHeight="true">
      <c r="A56" s="28"/>
      <c r="B56" s="29"/>
      <c r="C56" s="29"/>
      <c r="D56" s="29"/>
      <c r="E56" s="29"/>
      <c r="F56" s="29"/>
      <c r="G56" s="29"/>
      <c r="H56" s="29"/>
      <c r="I56" s="29"/>
      <c r="J56" s="29"/>
      <c r="K56" s="29"/>
      <c r="L56" s="29"/>
      <c r="M56" s="29"/>
      <c r="N56" s="29"/>
      <c r="O56" s="29"/>
      <c r="P56" s="29"/>
      <c r="T56" s="79"/>
    </row>
    <row r="57" spans="1:20" s="1" customFormat="true" ht="10.95" customHeight="true">
      <c r="A57" s="7" t="s">
        <v>3</v>
      </c>
      <c r="B57" s="30" t="s">
        <v>4</v>
      </c>
      <c r="C57" s="30" t="s">
        <v>5</v>
      </c>
      <c r="D57" s="30" t="s">
        <v>6</v>
      </c>
      <c r="E57" s="30" t="s">
        <v>7</v>
      </c>
      <c r="F57" s="30" t="s">
        <v>8</v>
      </c>
      <c r="G57" s="30" t="s">
        <v>9</v>
      </c>
      <c r="H57" s="30"/>
      <c r="I57" s="7" t="s">
        <v>10</v>
      </c>
      <c r="J57" s="7" t="s">
        <v>11</v>
      </c>
      <c r="K57" s="8" t="s">
        <v>12</v>
      </c>
      <c r="L57" s="9"/>
      <c r="M57" s="7" t="s">
        <v>11</v>
      </c>
      <c r="N57" s="52" t="s">
        <v>13</v>
      </c>
      <c r="O57" s="52"/>
      <c r="P57" s="9"/>
      <c r="Q57" s="9" t="s">
        <v>14</v>
      </c>
      <c r="R57" s="9" t="s">
        <v>15</v>
      </c>
      <c r="S57" s="83"/>
      <c r="T57" s="78"/>
    </row>
    <row r="58" spans="1:20" s="1" customFormat="true" ht="16.05" customHeight="true">
      <c r="A58" s="10"/>
      <c r="B58" s="30"/>
      <c r="C58" s="30"/>
      <c r="D58" s="30"/>
      <c r="E58" s="30"/>
      <c r="F58" s="30"/>
      <c r="G58" s="30"/>
      <c r="H58" s="30"/>
      <c r="I58" s="10"/>
      <c r="J58" s="10"/>
      <c r="K58" s="14"/>
      <c r="L58" s="15"/>
      <c r="M58" s="10"/>
      <c r="N58" s="53"/>
      <c r="O58" s="53"/>
      <c r="P58" s="15"/>
      <c r="Q58" s="15"/>
      <c r="R58" s="15"/>
      <c r="S58" s="83"/>
      <c r="T58" s="78"/>
    </row>
    <row r="59" spans="1:20" s="1" customFormat="true" ht="17.4">
      <c r="A59" s="13"/>
      <c r="B59" s="30"/>
      <c r="C59" s="30"/>
      <c r="D59" s="30"/>
      <c r="E59" s="30"/>
      <c r="F59" s="30"/>
      <c r="G59" s="30"/>
      <c r="H59" s="30"/>
      <c r="I59" s="13"/>
      <c r="J59" s="13"/>
      <c r="K59" s="54" t="s">
        <v>16</v>
      </c>
      <c r="L59" s="55" t="s">
        <v>17</v>
      </c>
      <c r="M59" s="13"/>
      <c r="N59" s="55" t="s">
        <v>18</v>
      </c>
      <c r="O59" s="55" t="s">
        <v>19</v>
      </c>
      <c r="P59" s="55" t="s">
        <v>20</v>
      </c>
      <c r="Q59" s="55" t="s">
        <v>21</v>
      </c>
      <c r="R59" s="55" t="s">
        <v>22</v>
      </c>
      <c r="S59" s="83"/>
      <c r="T59" s="78"/>
    </row>
    <row r="60" spans="1:20" s="2" customFormat="true" ht="13.95" customHeight="true">
      <c r="A60" s="16">
        <v>6</v>
      </c>
      <c r="B60" s="17" t="str">
        <f>=DISPIMG("ID_EEAEE80067DC42169B8EF64711FB9396",1)</f>
        <v>=DISPIMG("ID_EEAEE80067DC42169B8EF64711FB9396",1)</v>
      </c>
      <c r="C60" s="18" t="s">
        <v>156</v>
      </c>
      <c r="D60" s="18" t="s">
        <v>147</v>
      </c>
      <c r="E60" s="19"/>
      <c r="F60" s="19"/>
      <c r="G60" s="20" t="s">
        <v>157</v>
      </c>
      <c r="H60" s="21" t="str">
        <f>=DISPIMG("ID_1409A879005148C89C6510C8F26B6C23",1)</f>
        <v>=DISPIMG("ID_1409A879005148C89C6510C8F26B6C23",1)</v>
      </c>
      <c r="I60" s="56">
        <v>21.89</v>
      </c>
      <c r="J60" s="57" t="s">
        <v>26</v>
      </c>
      <c r="K60" s="23">
        <v>0</v>
      </c>
      <c r="L60" s="58">
        <f>I60*K60</f>
        <v>0</v>
      </c>
      <c r="M60" s="57" t="s">
        <v>26</v>
      </c>
      <c r="N60" s="23">
        <v>0</v>
      </c>
      <c r="O60" s="23">
        <v>0</v>
      </c>
      <c r="P60" s="23">
        <f t="shared" ref="P60:P65" si="10">MAX(0,K60-O60)</f>
        <v>0</v>
      </c>
      <c r="Q60" s="23"/>
      <c r="R60" s="23"/>
      <c r="T60" s="79"/>
    </row>
    <row r="61" spans="1:20" s="2" customFormat="true">
      <c r="A61" s="16"/>
      <c r="B61" s="16"/>
      <c r="C61" s="22"/>
      <c r="D61" s="22"/>
      <c r="E61" s="23"/>
      <c r="F61" s="23"/>
      <c r="G61" s="20"/>
      <c r="H61" s="21"/>
      <c r="I61" s="59"/>
      <c r="J61" s="57" t="s">
        <v>27</v>
      </c>
      <c r="K61" s="23">
        <v>12</v>
      </c>
      <c r="L61" s="58">
        <f>I60*K61</f>
        <v>262.68</v>
      </c>
      <c r="M61" s="57" t="s">
        <v>27</v>
      </c>
      <c r="N61" s="23">
        <v>0</v>
      </c>
      <c r="O61" s="23">
        <v>20</v>
      </c>
      <c r="P61" s="23">
        <f t="shared" si="10"/>
        <v>0</v>
      </c>
      <c r="Q61" s="23">
        <v>12</v>
      </c>
      <c r="R61" s="23"/>
      <c r="T61" s="79"/>
    </row>
    <row r="62" spans="1:20" s="2" customFormat="true">
      <c r="A62" s="16"/>
      <c r="B62" s="16"/>
      <c r="C62" s="22"/>
      <c r="D62" s="22"/>
      <c r="E62" s="23"/>
      <c r="F62" s="23"/>
      <c r="G62" s="20"/>
      <c r="H62" s="21"/>
      <c r="I62" s="59"/>
      <c r="J62" s="57" t="s">
        <v>28</v>
      </c>
      <c r="K62" s="23">
        <v>22</v>
      </c>
      <c r="L62" s="58">
        <f>I60*K62</f>
        <v>481.58</v>
      </c>
      <c r="M62" s="57" t="s">
        <v>28</v>
      </c>
      <c r="N62" s="23">
        <v>0</v>
      </c>
      <c r="O62" s="23">
        <v>14</v>
      </c>
      <c r="P62" s="23">
        <f t="shared" si="10"/>
        <v>8</v>
      </c>
      <c r="Q62" s="23">
        <v>5</v>
      </c>
      <c r="R62" s="23"/>
      <c r="T62" s="79"/>
    </row>
    <row r="63" spans="1:20" s="2" customFormat="true">
      <c r="A63" s="16"/>
      <c r="B63" s="16"/>
      <c r="C63" s="22"/>
      <c r="D63" s="22"/>
      <c r="E63" s="23"/>
      <c r="F63" s="23"/>
      <c r="G63" s="20"/>
      <c r="H63" s="21"/>
      <c r="I63" s="59"/>
      <c r="J63" s="57" t="s">
        <v>29</v>
      </c>
      <c r="K63" s="23">
        <v>10</v>
      </c>
      <c r="L63" s="58">
        <f>I60*K63</f>
        <v>218.9</v>
      </c>
      <c r="M63" s="57" t="s">
        <v>29</v>
      </c>
      <c r="N63" s="23">
        <v>0</v>
      </c>
      <c r="O63" s="23">
        <v>16</v>
      </c>
      <c r="P63" s="23">
        <f t="shared" si="10"/>
        <v>0</v>
      </c>
      <c r="Q63" s="23">
        <v>6</v>
      </c>
      <c r="R63" s="23"/>
      <c r="T63" s="79"/>
    </row>
    <row r="64" spans="1:20" s="2" customFormat="true">
      <c r="A64" s="16"/>
      <c r="B64" s="16"/>
      <c r="C64" s="22"/>
      <c r="D64" s="22"/>
      <c r="E64" s="23"/>
      <c r="F64" s="23"/>
      <c r="G64" s="20"/>
      <c r="H64" s="21"/>
      <c r="I64" s="59"/>
      <c r="J64" s="57" t="s">
        <v>30</v>
      </c>
      <c r="K64" s="23">
        <v>0</v>
      </c>
      <c r="L64" s="58">
        <f>I60*K64</f>
        <v>0</v>
      </c>
      <c r="M64" s="57" t="s">
        <v>30</v>
      </c>
      <c r="N64" s="23">
        <v>0</v>
      </c>
      <c r="O64" s="23">
        <v>0</v>
      </c>
      <c r="P64" s="23">
        <f t="shared" si="10"/>
        <v>0</v>
      </c>
      <c r="Q64" s="23"/>
      <c r="R64" s="23"/>
      <c r="T64" s="79"/>
    </row>
    <row r="65" spans="1:20" s="2" customFormat="true">
      <c r="A65" s="16"/>
      <c r="B65" s="16"/>
      <c r="C65" s="22"/>
      <c r="D65" s="22"/>
      <c r="E65" s="23"/>
      <c r="F65" s="23"/>
      <c r="G65" s="20"/>
      <c r="H65" s="21"/>
      <c r="I65" s="60"/>
      <c r="J65" s="23" t="s">
        <v>31</v>
      </c>
      <c r="K65" s="23">
        <v>0</v>
      </c>
      <c r="L65" s="58">
        <f>I60*K65</f>
        <v>0</v>
      </c>
      <c r="M65" s="23" t="s">
        <v>31</v>
      </c>
      <c r="N65" s="62">
        <v>0</v>
      </c>
      <c r="O65" s="23">
        <v>0</v>
      </c>
      <c r="P65" s="23">
        <f t="shared" si="10"/>
        <v>0</v>
      </c>
      <c r="Q65" s="23"/>
      <c r="R65" s="23"/>
      <c r="T65" s="79"/>
    </row>
    <row r="66" spans="1:20" s="2" customFormat="true">
      <c r="A66" s="24"/>
      <c r="B66" s="24"/>
      <c r="C66" s="25"/>
      <c r="D66" s="25"/>
      <c r="E66" s="23"/>
      <c r="F66" s="23"/>
      <c r="G66" s="26"/>
      <c r="H66" s="27"/>
      <c r="I66" s="62"/>
      <c r="J66" s="61" t="s">
        <v>32</v>
      </c>
      <c r="K66" s="62">
        <f t="shared" ref="K66:N66" si="11">SUM(K60:K65)</f>
        <v>44</v>
      </c>
      <c r="L66" s="63">
        <f t="shared" si="11"/>
        <v>963.16</v>
      </c>
      <c r="M66" s="61" t="s">
        <v>32</v>
      </c>
      <c r="N66" s="62">
        <f t="shared" si="11"/>
        <v>0</v>
      </c>
      <c r="O66" s="62" cm="1">
        <f t="array" ref="O66">SUMPRODUCT(--(O60:O65))</f>
        <v>50</v>
      </c>
      <c r="P66" s="64" cm="1">
        <f t="array" ref="P66">SUMPRODUCT(--(P60:P65))</f>
        <v>8</v>
      </c>
      <c r="Q66" s="64">
        <f>SUM(Q60:Q65)</f>
        <v>23</v>
      </c>
      <c r="R66" s="64">
        <f>SUM(R60:R65)</f>
        <v>0</v>
      </c>
      <c r="T66" s="79"/>
    </row>
    <row r="67" spans="1:16" s="3" customFormat="true">
      <c r="A67" s="4"/>
      <c r="B67" s="4"/>
      <c r="C67" s="31"/>
      <c r="D67" s="31"/>
      <c r="E67" s="31"/>
      <c r="F67" s="31"/>
      <c r="G67" s="31"/>
      <c r="H67" s="31"/>
      <c r="I67" s="65"/>
      <c r="J67" s="31"/>
      <c r="K67" s="65"/>
      <c r="L67" s="65"/>
      <c r="M67" s="31"/>
      <c r="N67" s="65"/>
      <c r="O67" s="65"/>
      <c r="P67" s="65"/>
    </row>
    <row r="68" spans="1:16" s="3" customFormat="true">
      <c r="A68" s="4"/>
      <c r="B68" s="4"/>
      <c r="C68" s="31"/>
      <c r="D68" s="31"/>
      <c r="E68" s="31"/>
      <c r="F68" s="31"/>
      <c r="G68" s="31"/>
      <c r="H68" s="31"/>
      <c r="I68" s="65"/>
      <c r="J68" s="31"/>
      <c r="K68" s="65"/>
      <c r="L68" s="65"/>
      <c r="M68" s="31"/>
      <c r="N68" s="65"/>
      <c r="O68" s="65"/>
      <c r="P68" s="65"/>
    </row>
    <row r="69"/>
    <row r="70" spans="1:14" ht="46" customHeight="true">
      <c r="A70" s="32" t="s">
        <v>45</v>
      </c>
      <c r="B70" s="33"/>
      <c r="C70" s="34" t="s">
        <v>5</v>
      </c>
      <c r="D70" s="35" t="s">
        <v>6</v>
      </c>
      <c r="E70" s="35" t="s">
        <v>7</v>
      </c>
      <c r="F70" s="35" t="s">
        <v>8</v>
      </c>
      <c r="G70" s="32" t="s">
        <v>9</v>
      </c>
      <c r="H70" s="33"/>
      <c r="I70" s="34" t="s">
        <v>46</v>
      </c>
      <c r="J70" s="34" t="s">
        <v>47</v>
      </c>
      <c r="K70" s="32" t="s">
        <v>49</v>
      </c>
      <c r="L70" s="84"/>
      <c r="M70" s="84"/>
      <c r="N70" s="33"/>
    </row>
    <row r="71" spans="1:14" ht="25.05" customHeight="true">
      <c r="A71" s="36"/>
      <c r="B71" s="37"/>
      <c r="C71" s="18" t="s">
        <v>158</v>
      </c>
      <c r="D71" s="18" t="s">
        <v>147</v>
      </c>
      <c r="E71" s="38"/>
      <c r="F71" s="38"/>
      <c r="G71" s="39" t="s">
        <v>159</v>
      </c>
      <c r="H71" s="40"/>
      <c r="I71" s="68" t="str">
        <f>SUM(K11,K22,K33,K44,K55,K66)&amp;"件"</f>
        <v>6097件</v>
      </c>
      <c r="J71" s="68" t="str">
        <f>SUM(O11,O22,O33,O44,O55,O66)&amp;"件"</f>
        <v>2715件</v>
      </c>
      <c r="K71" s="69"/>
      <c r="L71" s="71"/>
      <c r="M71" s="71"/>
      <c r="N71" s="70"/>
    </row>
    <row r="72" spans="1:14" ht="25.05" customHeight="true">
      <c r="A72" s="41"/>
      <c r="B72" s="42"/>
      <c r="C72" s="22"/>
      <c r="D72" s="22"/>
      <c r="E72" s="43"/>
      <c r="F72" s="43"/>
      <c r="G72" s="44"/>
      <c r="H72" s="45"/>
      <c r="I72" s="16"/>
      <c r="J72" s="16"/>
      <c r="K72" s="72"/>
      <c r="L72" s="85"/>
      <c r="M72" s="85"/>
      <c r="N72" s="73"/>
    </row>
    <row r="73" spans="1:14">
      <c r="A73" s="41"/>
      <c r="B73" s="42"/>
      <c r="C73" s="22"/>
      <c r="D73" s="22"/>
      <c r="E73" s="43"/>
      <c r="F73" s="43"/>
      <c r="G73" s="44"/>
      <c r="H73" s="45"/>
      <c r="I73" s="16"/>
      <c r="J73" s="16"/>
      <c r="K73" s="72"/>
      <c r="L73" s="85"/>
      <c r="M73" s="85"/>
      <c r="N73" s="73"/>
    </row>
    <row r="74" spans="1:14">
      <c r="A74" s="41"/>
      <c r="B74" s="42"/>
      <c r="C74" s="22"/>
      <c r="D74" s="22"/>
      <c r="E74" s="43"/>
      <c r="F74" s="43"/>
      <c r="G74" s="44"/>
      <c r="H74" s="45"/>
      <c r="I74" s="16"/>
      <c r="J74" s="16"/>
      <c r="K74" s="72"/>
      <c r="L74" s="85"/>
      <c r="M74" s="85"/>
      <c r="N74" s="73"/>
    </row>
    <row r="75" spans="1:14">
      <c r="A75" s="41"/>
      <c r="B75" s="42"/>
      <c r="C75" s="22"/>
      <c r="D75" s="22"/>
      <c r="E75" s="43"/>
      <c r="F75" s="43"/>
      <c r="G75" s="44"/>
      <c r="H75" s="45"/>
      <c r="I75" s="16"/>
      <c r="J75" s="16"/>
      <c r="K75" s="72"/>
      <c r="L75" s="85"/>
      <c r="M75" s="85"/>
      <c r="N75" s="73"/>
    </row>
    <row r="76" spans="1:14" customHeight="true">
      <c r="A76" s="41"/>
      <c r="B76" s="42"/>
      <c r="C76" s="22"/>
      <c r="D76" s="22"/>
      <c r="E76" s="43"/>
      <c r="F76" s="43"/>
      <c r="G76" s="44"/>
      <c r="H76" s="45"/>
      <c r="I76" s="16"/>
      <c r="J76" s="16"/>
      <c r="K76" s="72"/>
      <c r="L76" s="85"/>
      <c r="M76" s="85"/>
      <c r="N76" s="73"/>
    </row>
    <row r="77" spans="1:14">
      <c r="A77" s="46"/>
      <c r="B77" s="47"/>
      <c r="C77" s="25"/>
      <c r="D77" s="25"/>
      <c r="E77" s="48"/>
      <c r="F77" s="48"/>
      <c r="G77" s="49"/>
      <c r="H77" s="50"/>
      <c r="I77" s="24"/>
      <c r="J77" s="24"/>
      <c r="K77" s="75"/>
      <c r="L77" s="77"/>
      <c r="M77" s="77"/>
      <c r="N77" s="76"/>
    </row>
  </sheetData>
  <mergeCells count="157">
    <mergeCell ref="A1:L1"/>
    <mergeCell ref="M1:R1"/>
    <mergeCell ref="A12:P12"/>
    <mergeCell ref="A23:P23"/>
    <mergeCell ref="A34:P34"/>
    <mergeCell ref="A45:P45"/>
    <mergeCell ref="A56:P56"/>
    <mergeCell ref="A70:B70"/>
    <mergeCell ref="G70:H70"/>
    <mergeCell ref="K70:N70"/>
    <mergeCell ref="A2:A4"/>
    <mergeCell ref="A5:A11"/>
    <mergeCell ref="A13:A15"/>
    <mergeCell ref="A16:A22"/>
    <mergeCell ref="A24:A26"/>
    <mergeCell ref="A27:A33"/>
    <mergeCell ref="A35:A37"/>
    <mergeCell ref="A38:A44"/>
    <mergeCell ref="A46:A48"/>
    <mergeCell ref="A49:A55"/>
    <mergeCell ref="A57:A59"/>
    <mergeCell ref="A60:A66"/>
    <mergeCell ref="B2:B4"/>
    <mergeCell ref="B5:B11"/>
    <mergeCell ref="B13:B15"/>
    <mergeCell ref="B16:B22"/>
    <mergeCell ref="B24:B26"/>
    <mergeCell ref="B27:B33"/>
    <mergeCell ref="B35:B37"/>
    <mergeCell ref="B38:B44"/>
    <mergeCell ref="B46:B48"/>
    <mergeCell ref="B49:B55"/>
    <mergeCell ref="B57:B59"/>
    <mergeCell ref="B60:B66"/>
    <mergeCell ref="C2:C4"/>
    <mergeCell ref="C5:C11"/>
    <mergeCell ref="C13:C15"/>
    <mergeCell ref="C16:C22"/>
    <mergeCell ref="C24:C26"/>
    <mergeCell ref="C27:C33"/>
    <mergeCell ref="C35:C37"/>
    <mergeCell ref="C38:C44"/>
    <mergeCell ref="C46:C48"/>
    <mergeCell ref="C49:C55"/>
    <mergeCell ref="C57:C59"/>
    <mergeCell ref="C60:C66"/>
    <mergeCell ref="C71:C77"/>
    <mergeCell ref="D2:D4"/>
    <mergeCell ref="D5:D11"/>
    <mergeCell ref="D13:D15"/>
    <mergeCell ref="D16:D22"/>
    <mergeCell ref="D24:D26"/>
    <mergeCell ref="D27:D33"/>
    <mergeCell ref="D35:D37"/>
    <mergeCell ref="D38:D44"/>
    <mergeCell ref="D46:D48"/>
    <mergeCell ref="D49:D55"/>
    <mergeCell ref="D57:D59"/>
    <mergeCell ref="D60:D66"/>
    <mergeCell ref="D71:D77"/>
    <mergeCell ref="E2:E4"/>
    <mergeCell ref="E5:E11"/>
    <mergeCell ref="E13:E15"/>
    <mergeCell ref="E16:E22"/>
    <mergeCell ref="E24:E26"/>
    <mergeCell ref="E27:E33"/>
    <mergeCell ref="E35:E37"/>
    <mergeCell ref="E38:E44"/>
    <mergeCell ref="E46:E48"/>
    <mergeCell ref="E49:E55"/>
    <mergeCell ref="E57:E59"/>
    <mergeCell ref="E60:E66"/>
    <mergeCell ref="E71:E77"/>
    <mergeCell ref="F2:F4"/>
    <mergeCell ref="F5:F11"/>
    <mergeCell ref="F13:F15"/>
    <mergeCell ref="F16:F22"/>
    <mergeCell ref="F24:F26"/>
    <mergeCell ref="F27:F33"/>
    <mergeCell ref="F35:F37"/>
    <mergeCell ref="F38:F44"/>
    <mergeCell ref="F46:F48"/>
    <mergeCell ref="F49:F55"/>
    <mergeCell ref="F57:F59"/>
    <mergeCell ref="F60:F66"/>
    <mergeCell ref="F71:F77"/>
    <mergeCell ref="G5:G11"/>
    <mergeCell ref="G16:G22"/>
    <mergeCell ref="G27:G33"/>
    <mergeCell ref="G38:G44"/>
    <mergeCell ref="G49:G55"/>
    <mergeCell ref="G60:G66"/>
    <mergeCell ref="H5:H11"/>
    <mergeCell ref="H16:H22"/>
    <mergeCell ref="H27:H33"/>
    <mergeCell ref="H38:H44"/>
    <mergeCell ref="H49:H55"/>
    <mergeCell ref="H60:H66"/>
    <mergeCell ref="I2:I4"/>
    <mergeCell ref="I5:I10"/>
    <mergeCell ref="I13:I15"/>
    <mergeCell ref="I16:I21"/>
    <mergeCell ref="I24:I26"/>
    <mergeCell ref="I27:I32"/>
    <mergeCell ref="I35:I37"/>
    <mergeCell ref="I38:I43"/>
    <mergeCell ref="I46:I48"/>
    <mergeCell ref="I49:I54"/>
    <mergeCell ref="I57:I59"/>
    <mergeCell ref="I60:I65"/>
    <mergeCell ref="I71:I77"/>
    <mergeCell ref="J2:J4"/>
    <mergeCell ref="J13:J15"/>
    <mergeCell ref="J24:J26"/>
    <mergeCell ref="J35:J37"/>
    <mergeCell ref="J46:J48"/>
    <mergeCell ref="J57:J59"/>
    <mergeCell ref="J71:J77"/>
    <mergeCell ref="M2:M4"/>
    <mergeCell ref="M13:M15"/>
    <mergeCell ref="M24:M26"/>
    <mergeCell ref="M35:M37"/>
    <mergeCell ref="M46:M48"/>
    <mergeCell ref="M57:M59"/>
    <mergeCell ref="Q2:Q3"/>
    <mergeCell ref="Q13:Q14"/>
    <mergeCell ref="Q24:Q25"/>
    <mergeCell ref="Q35:Q36"/>
    <mergeCell ref="Q46:Q47"/>
    <mergeCell ref="Q57:Q58"/>
    <mergeCell ref="R2:R3"/>
    <mergeCell ref="R13:R14"/>
    <mergeCell ref="R24:R25"/>
    <mergeCell ref="R35:R36"/>
    <mergeCell ref="R46:R47"/>
    <mergeCell ref="R57:R58"/>
    <mergeCell ref="G2:H4"/>
    <mergeCell ref="K2:L3"/>
    <mergeCell ref="N2:P3"/>
    <mergeCell ref="G13:H15"/>
    <mergeCell ref="K13:L14"/>
    <mergeCell ref="N13:P14"/>
    <mergeCell ref="G24:H26"/>
    <mergeCell ref="K24:L25"/>
    <mergeCell ref="N24:P25"/>
    <mergeCell ref="G35:H37"/>
    <mergeCell ref="K35:L36"/>
    <mergeCell ref="N35:P36"/>
    <mergeCell ref="G46:H48"/>
    <mergeCell ref="K46:L47"/>
    <mergeCell ref="N46:P47"/>
    <mergeCell ref="G57:H59"/>
    <mergeCell ref="K57:L58"/>
    <mergeCell ref="N57:P58"/>
    <mergeCell ref="A71:B77"/>
    <mergeCell ref="G71:H77"/>
    <mergeCell ref="K71:N77"/>
  </mergeCells>
  <pageMargins left="0.75" right="0.75" top="1" bottom="1" header="0.5" footer="0.5"/>
  <pageSetup orientation="portrait" paperSize="9"/>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U77"/>
  <sheetViews>
    <sheetView topLeftCell="A34" zoomScale="85" zoomScaleNormal="85" workbookViewId="0">
      <selection activeCell="P66" sqref="P66"/>
    </sheetView>
  </sheetViews>
  <sheetFormatPr defaultColWidth="8.55555555555556" defaultRowHeight="14.4"/>
  <cols>
    <col customWidth="true" max="1" min="1" style="3" width="7"/>
    <col customWidth="true" max="2" min="2" style="3" width="8.77777777777778"/>
    <col customWidth="true" max="3" min="3" style="3" width="18.6666666666667"/>
    <col customWidth="true" max="4" min="4" style="3" width="9.88888888888889"/>
    <col customWidth="true" hidden="true" max="5" min="5" style="3" width="12.7777777777778"/>
    <col customWidth="true" hidden="true" max="6" min="6" style="3" width="12.6666666666667"/>
    <col customWidth="true" max="7" min="7" style="3" width="13.5740740740741"/>
    <col customWidth="true" max="8" min="8" style="3" width="11.5555555555556"/>
    <col customWidth="true" max="9" min="9" style="3" width="13.9444444444444"/>
    <col customWidth="true" max="10" min="10" style="4" width="13.2037037037037"/>
    <col customWidth="true" max="11" min="11" style="3" width="12.5833333333333"/>
    <col customWidth="true" max="12" min="12" style="3" width="15.3055555555556"/>
    <col customWidth="true" max="13" min="13" style="4" width="12.5925925925926"/>
    <col customWidth="true" max="14" min="14" style="3" width="10.8611111111111"/>
    <col customWidth="true" max="15" min="15" style="3" width="11.3518518518519"/>
    <col customWidth="true" max="18" min="16" style="3" width="13.0833333333333"/>
    <col max="16384" min="19" style="3" width="8.55555555555556"/>
  </cols>
  <sheetData>
    <row r="1" spans="1:20" s="1" customFormat="true" ht="58.8" customHeight="true">
      <c r="A1" s="5" t="s">
        <v>160</v>
      </c>
      <c r="B1" s="6"/>
      <c r="C1" s="6"/>
      <c r="D1" s="6"/>
      <c r="E1" s="6"/>
      <c r="F1" s="6"/>
      <c r="G1" s="6"/>
      <c r="H1" s="6"/>
      <c r="I1" s="6"/>
      <c r="J1" s="6"/>
      <c r="K1" s="6"/>
      <c r="L1" s="6"/>
      <c r="M1" s="6" t="s">
        <v>2</v>
      </c>
      <c r="N1" s="6"/>
      <c r="O1" s="6"/>
      <c r="P1" s="6"/>
      <c r="Q1" s="6"/>
      <c r="R1" s="6"/>
      <c r="S1" s="83"/>
      <c r="T1" s="78"/>
    </row>
    <row r="2" spans="1:20" s="1" customFormat="true" ht="10.95" customHeight="true">
      <c r="A2" s="7" t="s">
        <v>3</v>
      </c>
      <c r="B2" s="7" t="s">
        <v>4</v>
      </c>
      <c r="C2" s="7" t="s">
        <v>5</v>
      </c>
      <c r="D2" s="7" t="s">
        <v>6</v>
      </c>
      <c r="E2" s="7" t="s">
        <v>7</v>
      </c>
      <c r="F2" s="7" t="s">
        <v>8</v>
      </c>
      <c r="G2" s="8" t="s">
        <v>9</v>
      </c>
      <c r="H2" s="9"/>
      <c r="I2" s="7" t="s">
        <v>10</v>
      </c>
      <c r="J2" s="7" t="s">
        <v>11</v>
      </c>
      <c r="K2" s="52" t="s">
        <v>12</v>
      </c>
      <c r="L2" s="9"/>
      <c r="M2" s="7" t="s">
        <v>11</v>
      </c>
      <c r="N2" s="52" t="s">
        <v>161</v>
      </c>
      <c r="O2" s="52"/>
      <c r="P2" s="9"/>
      <c r="Q2" s="9" t="s">
        <v>14</v>
      </c>
      <c r="R2" s="9" t="s">
        <v>15</v>
      </c>
      <c r="S2" s="83"/>
      <c r="T2" s="78"/>
    </row>
    <row r="3" spans="1:20" s="1" customFormat="true" ht="16.05" customHeight="true">
      <c r="A3" s="10"/>
      <c r="B3" s="10"/>
      <c r="C3" s="10"/>
      <c r="D3" s="10"/>
      <c r="E3" s="10"/>
      <c r="F3" s="10"/>
      <c r="G3" s="11"/>
      <c r="H3" s="12"/>
      <c r="I3" s="10"/>
      <c r="J3" s="10"/>
      <c r="K3" s="53"/>
      <c r="L3" s="15"/>
      <c r="M3" s="10"/>
      <c r="N3" s="53"/>
      <c r="O3" s="53"/>
      <c r="P3" s="15"/>
      <c r="Q3" s="15"/>
      <c r="R3" s="15"/>
      <c r="S3" s="83"/>
      <c r="T3" s="78"/>
    </row>
    <row r="4" spans="1:20" s="1" customFormat="true" ht="28.95" customHeight="true">
      <c r="A4" s="13"/>
      <c r="B4" s="13"/>
      <c r="C4" s="13"/>
      <c r="D4" s="13"/>
      <c r="E4" s="13"/>
      <c r="F4" s="13"/>
      <c r="G4" s="14"/>
      <c r="H4" s="15"/>
      <c r="I4" s="13"/>
      <c r="J4" s="13"/>
      <c r="K4" s="54" t="s">
        <v>16</v>
      </c>
      <c r="L4" s="55" t="s">
        <v>17</v>
      </c>
      <c r="M4" s="13"/>
      <c r="N4" s="55" t="s">
        <v>18</v>
      </c>
      <c r="O4" s="55" t="s">
        <v>19</v>
      </c>
      <c r="P4" s="55" t="s">
        <v>20</v>
      </c>
      <c r="Q4" s="55" t="s">
        <v>21</v>
      </c>
      <c r="R4" s="55" t="s">
        <v>22</v>
      </c>
      <c r="S4" s="83"/>
      <c r="T4" s="78"/>
    </row>
    <row r="5" spans="1:20" s="2" customFormat="true" customHeight="true">
      <c r="A5" s="16">
        <v>1</v>
      </c>
      <c r="B5" s="17" t="str">
        <f>=DISPIMG("ID_FE8B7C76F7CB471B9BD30DDD0AD8D026",1)</f>
        <v>=DISPIMG("ID_FE8B7C76F7CB471B9BD30DDD0AD8D026",1)</v>
      </c>
      <c r="C5" s="18" t="s">
        <v>162</v>
      </c>
      <c r="D5" s="18" t="s">
        <v>163</v>
      </c>
      <c r="E5" s="19"/>
      <c r="F5" s="19"/>
      <c r="G5" s="20" t="s">
        <v>148</v>
      </c>
      <c r="H5" s="21" t="str">
        <f>=DISPIMG("ID_8931EF2886AC4D2B9B77270DD4E93DFA",1)</f>
        <v>=DISPIMG("ID_8931EF2886AC4D2B9B77270DD4E93DFA",1)</v>
      </c>
      <c r="I5" s="56">
        <v>23.64</v>
      </c>
      <c r="J5" s="57" t="s">
        <v>26</v>
      </c>
      <c r="K5" s="23">
        <v>174</v>
      </c>
      <c r="L5" s="58">
        <f>I5*K5</f>
        <v>4113.36</v>
      </c>
      <c r="M5" s="57" t="s">
        <v>26</v>
      </c>
      <c r="N5" s="23">
        <v>1</v>
      </c>
      <c r="O5" s="23">
        <v>197</v>
      </c>
      <c r="P5" s="23">
        <f t="shared" ref="P5:P10" si="0">MAX(0,K5-O5)</f>
        <v>0</v>
      </c>
      <c r="Q5" s="23">
        <v>36</v>
      </c>
      <c r="R5" s="23"/>
      <c r="T5" s="79"/>
    </row>
    <row r="6" spans="1:20" s="2" customFormat="true">
      <c r="A6" s="16"/>
      <c r="B6" s="16"/>
      <c r="C6" s="22"/>
      <c r="D6" s="22"/>
      <c r="E6" s="23"/>
      <c r="F6" s="23"/>
      <c r="G6" s="20"/>
      <c r="H6" s="21"/>
      <c r="I6" s="59"/>
      <c r="J6" s="57" t="s">
        <v>27</v>
      </c>
      <c r="K6" s="23">
        <v>424</v>
      </c>
      <c r="L6" s="58">
        <f>I5*K6</f>
        <v>10023.36</v>
      </c>
      <c r="M6" s="57" t="s">
        <v>27</v>
      </c>
      <c r="N6" s="23">
        <v>1</v>
      </c>
      <c r="O6" s="23">
        <v>485</v>
      </c>
      <c r="P6" s="23">
        <f t="shared" si="0"/>
        <v>0</v>
      </c>
      <c r="Q6" s="23">
        <v>113</v>
      </c>
      <c r="R6" s="23"/>
      <c r="T6" s="79"/>
    </row>
    <row r="7" spans="1:20" s="2" customFormat="true">
      <c r="A7" s="16"/>
      <c r="B7" s="16"/>
      <c r="C7" s="22"/>
      <c r="D7" s="22"/>
      <c r="E7" s="23"/>
      <c r="F7" s="23"/>
      <c r="G7" s="20"/>
      <c r="H7" s="21"/>
      <c r="I7" s="59"/>
      <c r="J7" s="57" t="s">
        <v>28</v>
      </c>
      <c r="K7" s="23">
        <v>676</v>
      </c>
      <c r="L7" s="58">
        <f>I5*K7</f>
        <v>15980.64</v>
      </c>
      <c r="M7" s="57" t="s">
        <v>28</v>
      </c>
      <c r="N7" s="23">
        <v>5</v>
      </c>
      <c r="O7" s="23">
        <v>653</v>
      </c>
      <c r="P7" s="23">
        <f t="shared" si="0"/>
        <v>23</v>
      </c>
      <c r="Q7" s="23">
        <v>129</v>
      </c>
      <c r="R7" s="23"/>
      <c r="T7" s="79"/>
    </row>
    <row r="8" spans="1:20" s="2" customFormat="true">
      <c r="A8" s="16"/>
      <c r="B8" s="16"/>
      <c r="C8" s="22"/>
      <c r="D8" s="22"/>
      <c r="E8" s="23"/>
      <c r="F8" s="23"/>
      <c r="G8" s="20"/>
      <c r="H8" s="21"/>
      <c r="I8" s="59"/>
      <c r="J8" s="57" t="s">
        <v>29</v>
      </c>
      <c r="K8" s="23">
        <v>659</v>
      </c>
      <c r="L8" s="58">
        <f>I5*K8</f>
        <v>15578.76</v>
      </c>
      <c r="M8" s="57" t="s">
        <v>29</v>
      </c>
      <c r="N8" s="23">
        <v>2</v>
      </c>
      <c r="O8" s="23">
        <v>559</v>
      </c>
      <c r="P8" s="23">
        <f t="shared" si="0"/>
        <v>100</v>
      </c>
      <c r="Q8" s="23">
        <v>88</v>
      </c>
      <c r="R8" s="23"/>
      <c r="T8" s="79"/>
    </row>
    <row r="9" spans="1:20" s="2" customFormat="true">
      <c r="A9" s="16"/>
      <c r="B9" s="16"/>
      <c r="C9" s="22"/>
      <c r="D9" s="22"/>
      <c r="E9" s="23"/>
      <c r="F9" s="23"/>
      <c r="G9" s="20"/>
      <c r="H9" s="21"/>
      <c r="I9" s="59"/>
      <c r="J9" s="57" t="s">
        <v>30</v>
      </c>
      <c r="K9" s="23">
        <v>411</v>
      </c>
      <c r="L9" s="58">
        <f>I5*K9</f>
        <v>9716.04</v>
      </c>
      <c r="M9" s="57" t="s">
        <v>30</v>
      </c>
      <c r="N9" s="23">
        <v>1</v>
      </c>
      <c r="O9" s="23">
        <v>349</v>
      </c>
      <c r="P9" s="23">
        <f t="shared" si="0"/>
        <v>62</v>
      </c>
      <c r="Q9" s="23">
        <v>53</v>
      </c>
      <c r="R9" s="23"/>
      <c r="T9" s="79"/>
    </row>
    <row r="10" spans="1:20" s="2" customFormat="true">
      <c r="A10" s="16"/>
      <c r="B10" s="16"/>
      <c r="C10" s="22"/>
      <c r="D10" s="22"/>
      <c r="E10" s="23"/>
      <c r="F10" s="23"/>
      <c r="G10" s="20"/>
      <c r="H10" s="21"/>
      <c r="I10" s="60"/>
      <c r="J10" s="23" t="s">
        <v>31</v>
      </c>
      <c r="K10" s="23">
        <v>210</v>
      </c>
      <c r="L10" s="58">
        <f>I5*K10</f>
        <v>4964.4</v>
      </c>
      <c r="M10" s="23" t="s">
        <v>31</v>
      </c>
      <c r="N10" s="23">
        <v>0</v>
      </c>
      <c r="O10" s="23">
        <v>207</v>
      </c>
      <c r="P10" s="23">
        <f t="shared" si="0"/>
        <v>3</v>
      </c>
      <c r="Q10" s="23">
        <v>25</v>
      </c>
      <c r="R10" s="23"/>
      <c r="T10" s="79"/>
    </row>
    <row r="11" spans="1:20" s="2" customFormat="true">
      <c r="A11" s="24"/>
      <c r="B11" s="24"/>
      <c r="C11" s="25"/>
      <c r="D11" s="25"/>
      <c r="E11" s="23"/>
      <c r="F11" s="23"/>
      <c r="G11" s="26"/>
      <c r="H11" s="27"/>
      <c r="J11" s="61" t="s">
        <v>32</v>
      </c>
      <c r="K11" s="62">
        <f t="shared" ref="K11:N11" si="1">SUM(K5:K10)</f>
        <v>2554</v>
      </c>
      <c r="L11" s="63">
        <f t="shared" si="1"/>
        <v>60376.56</v>
      </c>
      <c r="M11" s="61" t="s">
        <v>32</v>
      </c>
      <c r="N11" s="62">
        <f t="shared" si="1"/>
        <v>10</v>
      </c>
      <c r="O11" s="64" cm="1">
        <f t="array" ref="O11">SUMPRODUCT(--(O5:O10))</f>
        <v>2450</v>
      </c>
      <c r="P11" s="64" cm="1">
        <f t="array" ref="P11">SUMPRODUCT(--(P5:P10))</f>
        <v>188</v>
      </c>
      <c r="Q11" s="64">
        <f>SUM(Q5:Q10)</f>
        <v>444</v>
      </c>
      <c r="R11" s="64">
        <f>SUM(R5:R10)</f>
        <v>0</v>
      </c>
      <c r="T11" s="79"/>
    </row>
    <row r="12" spans="1:20" s="2" customFormat="true" ht="17.4" customHeight="true">
      <c r="A12" s="28"/>
      <c r="B12" s="29"/>
      <c r="C12" s="29"/>
      <c r="D12" s="29"/>
      <c r="E12" s="29"/>
      <c r="F12" s="29"/>
      <c r="G12" s="29"/>
      <c r="H12" s="29"/>
      <c r="I12" s="29"/>
      <c r="J12" s="29"/>
      <c r="K12" s="29"/>
      <c r="L12" s="29"/>
      <c r="M12" s="29"/>
      <c r="N12" s="29"/>
      <c r="O12" s="29"/>
      <c r="P12" s="29"/>
      <c r="Q12" s="29"/>
      <c r="R12" s="29"/>
      <c r="T12" s="79"/>
    </row>
    <row r="13" spans="1:21" s="1" customFormat="true" ht="10.95" customHeight="true">
      <c r="A13" s="7" t="s">
        <v>3</v>
      </c>
      <c r="B13" s="30" t="s">
        <v>4</v>
      </c>
      <c r="C13" s="7" t="s">
        <v>5</v>
      </c>
      <c r="D13" s="30" t="s">
        <v>6</v>
      </c>
      <c r="E13" s="30" t="s">
        <v>7</v>
      </c>
      <c r="F13" s="30" t="s">
        <v>8</v>
      </c>
      <c r="G13" s="30" t="s">
        <v>9</v>
      </c>
      <c r="H13" s="30"/>
      <c r="I13" s="7" t="s">
        <v>10</v>
      </c>
      <c r="J13" s="7" t="s">
        <v>11</v>
      </c>
      <c r="K13" s="8" t="s">
        <v>12</v>
      </c>
      <c r="L13" s="9"/>
      <c r="M13" s="7" t="s">
        <v>11</v>
      </c>
      <c r="N13" s="52" t="s">
        <v>161</v>
      </c>
      <c r="O13" s="52"/>
      <c r="P13" s="9"/>
      <c r="Q13" s="9" t="s">
        <v>14</v>
      </c>
      <c r="R13" s="9" t="s">
        <v>15</v>
      </c>
      <c r="S13" s="83"/>
      <c r="T13" s="78"/>
      <c r="U13" s="2"/>
    </row>
    <row r="14" spans="1:20" s="1" customFormat="true" ht="16.05" customHeight="true">
      <c r="A14" s="10"/>
      <c r="B14" s="30"/>
      <c r="C14" s="10"/>
      <c r="D14" s="30"/>
      <c r="E14" s="30"/>
      <c r="F14" s="30"/>
      <c r="G14" s="30"/>
      <c r="H14" s="30"/>
      <c r="I14" s="10"/>
      <c r="J14" s="10"/>
      <c r="K14" s="14"/>
      <c r="L14" s="15"/>
      <c r="M14" s="10"/>
      <c r="N14" s="53"/>
      <c r="O14" s="53"/>
      <c r="P14" s="15"/>
      <c r="Q14" s="15"/>
      <c r="R14" s="15"/>
      <c r="S14" s="83"/>
      <c r="T14" s="78"/>
    </row>
    <row r="15" spans="1:20" s="1" customFormat="true" ht="28.95" customHeight="true">
      <c r="A15" s="13"/>
      <c r="B15" s="30"/>
      <c r="C15" s="13"/>
      <c r="D15" s="30"/>
      <c r="E15" s="30"/>
      <c r="F15" s="30"/>
      <c r="G15" s="30"/>
      <c r="H15" s="30"/>
      <c r="I15" s="13"/>
      <c r="J15" s="13"/>
      <c r="K15" s="54" t="s">
        <v>16</v>
      </c>
      <c r="L15" s="55" t="s">
        <v>17</v>
      </c>
      <c r="M15" s="13"/>
      <c r="N15" s="55" t="s">
        <v>18</v>
      </c>
      <c r="O15" s="55" t="s">
        <v>19</v>
      </c>
      <c r="P15" s="55" t="s">
        <v>20</v>
      </c>
      <c r="Q15" s="55" t="s">
        <v>21</v>
      </c>
      <c r="R15" s="55" t="s">
        <v>22</v>
      </c>
      <c r="S15" s="83"/>
      <c r="T15" s="78"/>
    </row>
    <row r="16" spans="1:20" s="2" customFormat="true" ht="13.95" customHeight="true">
      <c r="A16" s="16">
        <v>2</v>
      </c>
      <c r="B16" s="17" t="str">
        <f>=DISPIMG("ID_27092A9BC99242F78F1391313BAABBE4",1)</f>
        <v>=DISPIMG("ID_27092A9BC99242F78F1391313BAABBE4",1)</v>
      </c>
      <c r="C16" s="18" t="s">
        <v>164</v>
      </c>
      <c r="D16" s="18" t="s">
        <v>163</v>
      </c>
      <c r="E16" s="19"/>
      <c r="F16" s="19"/>
      <c r="G16" s="20" t="s">
        <v>150</v>
      </c>
      <c r="H16" s="21" t="str">
        <f>=DISPIMG("ID_D5F50DE3E3FC49929A0D8AAA17B7A670",1)</f>
        <v>=DISPIMG("ID_D5F50DE3E3FC49929A0D8AAA17B7A670",1)</v>
      </c>
      <c r="I16" s="56">
        <v>23.64</v>
      </c>
      <c r="J16" s="57" t="s">
        <v>26</v>
      </c>
      <c r="K16" s="23">
        <v>340</v>
      </c>
      <c r="L16" s="58">
        <f>I16*K16</f>
        <v>8037.6</v>
      </c>
      <c r="M16" s="57" t="s">
        <v>26</v>
      </c>
      <c r="N16" s="23">
        <v>0</v>
      </c>
      <c r="O16" s="23">
        <v>35</v>
      </c>
      <c r="P16" s="23">
        <f t="shared" ref="P16:P21" si="2">MAX(0,K16-O16)</f>
        <v>305</v>
      </c>
      <c r="Q16" s="23">
        <v>4</v>
      </c>
      <c r="R16" s="23"/>
      <c r="T16" s="79"/>
    </row>
    <row r="17" spans="1:20" s="2" customFormat="true">
      <c r="A17" s="16"/>
      <c r="B17" s="16"/>
      <c r="C17" s="22"/>
      <c r="D17" s="22"/>
      <c r="E17" s="23"/>
      <c r="F17" s="23"/>
      <c r="G17" s="20"/>
      <c r="H17" s="21"/>
      <c r="I17" s="59"/>
      <c r="J17" s="57" t="s">
        <v>27</v>
      </c>
      <c r="K17" s="23">
        <v>905</v>
      </c>
      <c r="L17" s="58">
        <f>I16*K17</f>
        <v>21394.2</v>
      </c>
      <c r="M17" s="57" t="s">
        <v>27</v>
      </c>
      <c r="N17" s="23">
        <v>0</v>
      </c>
      <c r="O17" s="23">
        <v>126</v>
      </c>
      <c r="P17" s="23">
        <f t="shared" si="2"/>
        <v>779</v>
      </c>
      <c r="Q17" s="23">
        <v>15</v>
      </c>
      <c r="R17" s="23"/>
      <c r="T17" s="79"/>
    </row>
    <row r="18" spans="1:20" s="2" customFormat="true">
      <c r="A18" s="16"/>
      <c r="B18" s="16"/>
      <c r="C18" s="22"/>
      <c r="D18" s="22"/>
      <c r="E18" s="23"/>
      <c r="F18" s="23"/>
      <c r="G18" s="20"/>
      <c r="H18" s="21"/>
      <c r="I18" s="59"/>
      <c r="J18" s="57" t="s">
        <v>28</v>
      </c>
      <c r="K18" s="23">
        <v>1234</v>
      </c>
      <c r="L18" s="58">
        <f>I16*K18</f>
        <v>29171.76</v>
      </c>
      <c r="M18" s="57" t="s">
        <v>28</v>
      </c>
      <c r="N18" s="23">
        <v>2</v>
      </c>
      <c r="O18" s="23">
        <v>201</v>
      </c>
      <c r="P18" s="23">
        <f t="shared" si="2"/>
        <v>1033</v>
      </c>
      <c r="Q18" s="23">
        <v>37</v>
      </c>
      <c r="R18" s="23"/>
      <c r="T18" s="79"/>
    </row>
    <row r="19" spans="1:20" s="2" customFormat="true">
      <c r="A19" s="16"/>
      <c r="B19" s="16"/>
      <c r="C19" s="22"/>
      <c r="D19" s="22"/>
      <c r="E19" s="23"/>
      <c r="F19" s="23"/>
      <c r="G19" s="20"/>
      <c r="H19" s="21"/>
      <c r="I19" s="59"/>
      <c r="J19" s="57" t="s">
        <v>29</v>
      </c>
      <c r="K19" s="23">
        <v>1147</v>
      </c>
      <c r="L19" s="58">
        <f>I16*K19</f>
        <v>27115.08</v>
      </c>
      <c r="M19" s="57" t="s">
        <v>29</v>
      </c>
      <c r="N19" s="23">
        <v>2</v>
      </c>
      <c r="O19" s="23">
        <v>216</v>
      </c>
      <c r="P19" s="23">
        <f t="shared" si="2"/>
        <v>931</v>
      </c>
      <c r="Q19" s="23">
        <v>27</v>
      </c>
      <c r="R19" s="23"/>
      <c r="T19" s="79"/>
    </row>
    <row r="20" spans="1:20" s="2" customFormat="true">
      <c r="A20" s="16"/>
      <c r="B20" s="16"/>
      <c r="C20" s="22"/>
      <c r="D20" s="22"/>
      <c r="E20" s="23"/>
      <c r="F20" s="23"/>
      <c r="G20" s="20"/>
      <c r="H20" s="21"/>
      <c r="I20" s="59"/>
      <c r="J20" s="57" t="s">
        <v>30</v>
      </c>
      <c r="K20" s="23">
        <v>898</v>
      </c>
      <c r="L20" s="58">
        <f>I16*K20</f>
        <v>21228.72</v>
      </c>
      <c r="M20" s="57" t="s">
        <v>30</v>
      </c>
      <c r="N20" s="23">
        <v>2</v>
      </c>
      <c r="O20" s="23">
        <v>180</v>
      </c>
      <c r="P20" s="23">
        <f t="shared" si="2"/>
        <v>718</v>
      </c>
      <c r="Q20" s="23">
        <v>22</v>
      </c>
      <c r="R20" s="23"/>
      <c r="T20" s="79"/>
    </row>
    <row r="21" spans="1:20" s="2" customFormat="true">
      <c r="A21" s="16"/>
      <c r="B21" s="16"/>
      <c r="C21" s="22"/>
      <c r="D21" s="22"/>
      <c r="E21" s="23"/>
      <c r="F21" s="23"/>
      <c r="G21" s="20"/>
      <c r="H21" s="21"/>
      <c r="I21" s="60"/>
      <c r="J21" s="23" t="s">
        <v>31</v>
      </c>
      <c r="K21" s="23">
        <v>416</v>
      </c>
      <c r="L21" s="58">
        <f>I16*K21</f>
        <v>9834.24</v>
      </c>
      <c r="M21" s="23" t="s">
        <v>31</v>
      </c>
      <c r="N21" s="23">
        <v>2</v>
      </c>
      <c r="O21" s="23">
        <v>152</v>
      </c>
      <c r="P21" s="23">
        <f t="shared" si="2"/>
        <v>264</v>
      </c>
      <c r="Q21" s="23">
        <v>13</v>
      </c>
      <c r="R21" s="23"/>
      <c r="T21" s="79"/>
    </row>
    <row r="22" spans="1:20" s="2" customFormat="true">
      <c r="A22" s="24"/>
      <c r="B22" s="24"/>
      <c r="C22" s="25"/>
      <c r="D22" s="25"/>
      <c r="E22" s="23"/>
      <c r="F22" s="23"/>
      <c r="G22" s="26"/>
      <c r="H22" s="27"/>
      <c r="I22" s="62"/>
      <c r="J22" s="61" t="s">
        <v>32</v>
      </c>
      <c r="K22" s="62">
        <f t="shared" ref="K22:N22" si="3">SUM(K16:K21)</f>
        <v>4940</v>
      </c>
      <c r="L22" s="63">
        <f t="shared" si="3"/>
        <v>116781.6</v>
      </c>
      <c r="M22" s="61" t="s">
        <v>32</v>
      </c>
      <c r="N22" s="62">
        <f t="shared" si="3"/>
        <v>8</v>
      </c>
      <c r="O22" s="64" cm="1">
        <f t="array" ref="O22">SUMPRODUCT(--(O16:O21))</f>
        <v>910</v>
      </c>
      <c r="P22" s="64" cm="1">
        <f t="array" ref="P22">SUMPRODUCT(--(P16:P21))</f>
        <v>4030</v>
      </c>
      <c r="Q22" s="64">
        <f>SUM(Q16:Q21)</f>
        <v>118</v>
      </c>
      <c r="R22" s="64">
        <f>SUM(R16:R21)</f>
        <v>0</v>
      </c>
      <c r="T22" s="79"/>
    </row>
    <row r="23" spans="1:20" s="2" customFormat="true" ht="17.4" customHeight="true">
      <c r="A23" s="28"/>
      <c r="B23" s="29"/>
      <c r="C23" s="29"/>
      <c r="D23" s="29"/>
      <c r="E23" s="29"/>
      <c r="F23" s="29"/>
      <c r="G23" s="29"/>
      <c r="H23" s="29"/>
      <c r="I23" s="29"/>
      <c r="J23" s="29"/>
      <c r="K23" s="29"/>
      <c r="L23" s="29"/>
      <c r="M23" s="29"/>
      <c r="N23" s="29"/>
      <c r="O23" s="29"/>
      <c r="P23" s="29"/>
      <c r="Q23" s="65"/>
      <c r="R23" s="65"/>
      <c r="T23" s="79"/>
    </row>
    <row r="24" spans="1:20" s="1" customFormat="true" ht="10.95" customHeight="true">
      <c r="A24" s="7" t="s">
        <v>3</v>
      </c>
      <c r="B24" s="30" t="s">
        <v>4</v>
      </c>
      <c r="C24" s="7" t="s">
        <v>5</v>
      </c>
      <c r="D24" s="30" t="s">
        <v>6</v>
      </c>
      <c r="E24" s="30" t="s">
        <v>7</v>
      </c>
      <c r="F24" s="30" t="s">
        <v>8</v>
      </c>
      <c r="G24" s="30" t="s">
        <v>9</v>
      </c>
      <c r="H24" s="30"/>
      <c r="I24" s="7" t="s">
        <v>10</v>
      </c>
      <c r="J24" s="7" t="s">
        <v>11</v>
      </c>
      <c r="K24" s="8" t="s">
        <v>12</v>
      </c>
      <c r="L24" s="9"/>
      <c r="M24" s="7" t="s">
        <v>11</v>
      </c>
      <c r="N24" s="52" t="s">
        <v>161</v>
      </c>
      <c r="O24" s="52"/>
      <c r="P24" s="9"/>
      <c r="Q24" s="9" t="s">
        <v>14</v>
      </c>
      <c r="R24" s="9" t="s">
        <v>15</v>
      </c>
      <c r="S24" s="83"/>
      <c r="T24" s="78"/>
    </row>
    <row r="25" spans="1:20" s="1" customFormat="true" ht="16.05" customHeight="true">
      <c r="A25" s="10"/>
      <c r="B25" s="30"/>
      <c r="C25" s="10"/>
      <c r="D25" s="30"/>
      <c r="E25" s="30"/>
      <c r="F25" s="30"/>
      <c r="G25" s="30"/>
      <c r="H25" s="30"/>
      <c r="I25" s="10"/>
      <c r="J25" s="10"/>
      <c r="K25" s="14"/>
      <c r="L25" s="15"/>
      <c r="M25" s="10"/>
      <c r="N25" s="53"/>
      <c r="O25" s="53"/>
      <c r="P25" s="15"/>
      <c r="Q25" s="15"/>
      <c r="R25" s="15"/>
      <c r="S25" s="83"/>
      <c r="T25" s="78"/>
    </row>
    <row r="26" spans="1:20" s="1" customFormat="true" ht="28.95" customHeight="true">
      <c r="A26" s="13"/>
      <c r="B26" s="30"/>
      <c r="C26" s="13"/>
      <c r="D26" s="30"/>
      <c r="E26" s="30"/>
      <c r="F26" s="30"/>
      <c r="G26" s="30"/>
      <c r="H26" s="30"/>
      <c r="I26" s="13"/>
      <c r="J26" s="13"/>
      <c r="K26" s="54" t="s">
        <v>16</v>
      </c>
      <c r="L26" s="55" t="s">
        <v>17</v>
      </c>
      <c r="M26" s="13"/>
      <c r="N26" s="55" t="s">
        <v>18</v>
      </c>
      <c r="O26" s="55" t="s">
        <v>19</v>
      </c>
      <c r="P26" s="55" t="s">
        <v>20</v>
      </c>
      <c r="Q26" s="55" t="s">
        <v>21</v>
      </c>
      <c r="R26" s="55" t="s">
        <v>22</v>
      </c>
      <c r="S26" s="83"/>
      <c r="T26" s="78"/>
    </row>
    <row r="27" spans="1:20" s="2" customFormat="true" ht="13.95" customHeight="true">
      <c r="A27" s="16">
        <v>3</v>
      </c>
      <c r="B27" s="17" t="str">
        <f>=DISPIMG("ID_4132A6218CF44D188411D8A3701E0457",1)</f>
        <v>=DISPIMG("ID_4132A6218CF44D188411D8A3701E0457",1)</v>
      </c>
      <c r="C27" s="18" t="s">
        <v>165</v>
      </c>
      <c r="D27" s="18" t="s">
        <v>163</v>
      </c>
      <c r="E27" s="19"/>
      <c r="F27" s="19"/>
      <c r="G27" s="20" t="s">
        <v>34</v>
      </c>
      <c r="H27" s="21" t="str">
        <f>=DISPIMG("ID_154F0C5860F84993BFC6A2CE57C40C05",1)</f>
        <v>=DISPIMG("ID_154F0C5860F84993BFC6A2CE57C40C05",1)</v>
      </c>
      <c r="I27" s="56">
        <v>23.64</v>
      </c>
      <c r="J27" s="57" t="s">
        <v>26</v>
      </c>
      <c r="K27" s="23">
        <v>349</v>
      </c>
      <c r="L27" s="58">
        <f>I27*K27</f>
        <v>8250.36</v>
      </c>
      <c r="M27" s="57" t="s">
        <v>26</v>
      </c>
      <c r="N27" s="23">
        <v>3</v>
      </c>
      <c r="O27" s="23">
        <v>134</v>
      </c>
      <c r="P27" s="23">
        <f t="shared" ref="P27:P32" si="4">MAX(0,K27-O27)</f>
        <v>215</v>
      </c>
      <c r="Q27" s="23">
        <v>7</v>
      </c>
      <c r="R27" s="23"/>
      <c r="T27" s="79"/>
    </row>
    <row r="28" spans="1:20" s="2" customFormat="true">
      <c r="A28" s="16"/>
      <c r="B28" s="16"/>
      <c r="C28" s="22"/>
      <c r="D28" s="22"/>
      <c r="E28" s="23"/>
      <c r="F28" s="23"/>
      <c r="G28" s="20"/>
      <c r="H28" s="21"/>
      <c r="I28" s="59"/>
      <c r="J28" s="57" t="s">
        <v>27</v>
      </c>
      <c r="K28" s="23">
        <v>935</v>
      </c>
      <c r="L28" s="58">
        <f>I27*K28</f>
        <v>22103.4</v>
      </c>
      <c r="M28" s="57" t="s">
        <v>27</v>
      </c>
      <c r="N28" s="23">
        <v>4</v>
      </c>
      <c r="O28" s="23">
        <v>222</v>
      </c>
      <c r="P28" s="23">
        <f t="shared" si="4"/>
        <v>713</v>
      </c>
      <c r="Q28" s="23">
        <v>34</v>
      </c>
      <c r="R28" s="23"/>
      <c r="T28" s="79"/>
    </row>
    <row r="29" spans="1:20" s="2" customFormat="true">
      <c r="A29" s="16"/>
      <c r="B29" s="16"/>
      <c r="C29" s="22"/>
      <c r="D29" s="22"/>
      <c r="E29" s="23"/>
      <c r="F29" s="23"/>
      <c r="G29" s="20"/>
      <c r="H29" s="21"/>
      <c r="I29" s="59"/>
      <c r="J29" s="57" t="s">
        <v>28</v>
      </c>
      <c r="K29" s="23">
        <v>1213</v>
      </c>
      <c r="L29" s="58">
        <f>I27*K29</f>
        <v>28675.32</v>
      </c>
      <c r="M29" s="57" t="s">
        <v>28</v>
      </c>
      <c r="N29" s="23">
        <v>1</v>
      </c>
      <c r="O29" s="23">
        <v>417</v>
      </c>
      <c r="P29" s="23">
        <f t="shared" si="4"/>
        <v>796</v>
      </c>
      <c r="Q29" s="23">
        <v>72</v>
      </c>
      <c r="R29" s="23"/>
      <c r="T29" s="79"/>
    </row>
    <row r="30" spans="1:20" s="2" customFormat="true">
      <c r="A30" s="16"/>
      <c r="B30" s="16"/>
      <c r="C30" s="22"/>
      <c r="D30" s="22"/>
      <c r="E30" s="23"/>
      <c r="F30" s="23"/>
      <c r="G30" s="20"/>
      <c r="H30" s="21"/>
      <c r="I30" s="59"/>
      <c r="J30" s="57" t="s">
        <v>29</v>
      </c>
      <c r="K30" s="23">
        <v>1100</v>
      </c>
      <c r="L30" s="58">
        <f>I27*K30</f>
        <v>26004</v>
      </c>
      <c r="M30" s="57" t="s">
        <v>29</v>
      </c>
      <c r="N30" s="23">
        <v>2</v>
      </c>
      <c r="O30" s="23">
        <v>385</v>
      </c>
      <c r="P30" s="23">
        <f t="shared" si="4"/>
        <v>715</v>
      </c>
      <c r="Q30" s="23">
        <v>57</v>
      </c>
      <c r="R30" s="23"/>
      <c r="T30" s="79"/>
    </row>
    <row r="31" spans="1:20" s="2" customFormat="true">
      <c r="A31" s="16"/>
      <c r="B31" s="16"/>
      <c r="C31" s="22"/>
      <c r="D31" s="22"/>
      <c r="E31" s="23"/>
      <c r="F31" s="23"/>
      <c r="G31" s="20"/>
      <c r="H31" s="21"/>
      <c r="I31" s="59"/>
      <c r="J31" s="57" t="s">
        <v>30</v>
      </c>
      <c r="K31" s="23">
        <v>908</v>
      </c>
      <c r="L31" s="58">
        <f>I27*K31</f>
        <v>21465.12</v>
      </c>
      <c r="M31" s="57" t="s">
        <v>30</v>
      </c>
      <c r="N31" s="23">
        <v>2</v>
      </c>
      <c r="O31" s="23">
        <v>277</v>
      </c>
      <c r="P31" s="23">
        <f t="shared" si="4"/>
        <v>631</v>
      </c>
      <c r="Q31" s="23">
        <v>33</v>
      </c>
      <c r="R31" s="23"/>
      <c r="T31" s="79"/>
    </row>
    <row r="32" spans="1:20" s="2" customFormat="true">
      <c r="A32" s="16"/>
      <c r="B32" s="16"/>
      <c r="C32" s="22"/>
      <c r="D32" s="22"/>
      <c r="E32" s="23"/>
      <c r="F32" s="23"/>
      <c r="G32" s="20"/>
      <c r="H32" s="21"/>
      <c r="I32" s="60"/>
      <c r="J32" s="23" t="s">
        <v>31</v>
      </c>
      <c r="K32" s="23">
        <v>423</v>
      </c>
      <c r="L32" s="58">
        <f>I27*K32</f>
        <v>9999.72</v>
      </c>
      <c r="M32" s="23" t="s">
        <v>31</v>
      </c>
      <c r="N32" s="23">
        <v>2</v>
      </c>
      <c r="O32" s="23">
        <v>226</v>
      </c>
      <c r="P32" s="23">
        <f t="shared" si="4"/>
        <v>197</v>
      </c>
      <c r="Q32" s="23">
        <v>33</v>
      </c>
      <c r="R32" s="23"/>
      <c r="T32" s="79"/>
    </row>
    <row r="33" spans="1:20" s="2" customFormat="true">
      <c r="A33" s="24"/>
      <c r="B33" s="24"/>
      <c r="C33" s="25"/>
      <c r="D33" s="25"/>
      <c r="E33" s="23"/>
      <c r="F33" s="23"/>
      <c r="G33" s="26"/>
      <c r="H33" s="27"/>
      <c r="I33" s="62"/>
      <c r="J33" s="61" t="s">
        <v>32</v>
      </c>
      <c r="K33" s="62">
        <f t="shared" ref="K33:N33" si="5">SUM(K27:K32)</f>
        <v>4928</v>
      </c>
      <c r="L33" s="63">
        <f t="shared" si="5"/>
        <v>116497.92</v>
      </c>
      <c r="M33" s="61" t="s">
        <v>32</v>
      </c>
      <c r="N33" s="62">
        <f t="shared" si="5"/>
        <v>14</v>
      </c>
      <c r="O33" s="64" cm="1">
        <f t="array" ref="O33">SUMPRODUCT(--(O27:O32))</f>
        <v>1661</v>
      </c>
      <c r="P33" s="64" cm="1">
        <f t="array" ref="P33">SUMPRODUCT(--(P27:P32))</f>
        <v>3267</v>
      </c>
      <c r="Q33" s="64">
        <f>SUM(Q27:Q32)</f>
        <v>236</v>
      </c>
      <c r="R33" s="64">
        <f>SUM(R27:R32)</f>
        <v>0</v>
      </c>
      <c r="T33" s="79"/>
    </row>
    <row r="34" spans="1:20" s="2" customFormat="true" ht="17.4" customHeight="true">
      <c r="A34" s="28"/>
      <c r="B34" s="29"/>
      <c r="C34" s="29"/>
      <c r="D34" s="29"/>
      <c r="E34" s="29"/>
      <c r="F34" s="29"/>
      <c r="G34" s="29"/>
      <c r="H34" s="29"/>
      <c r="I34" s="29"/>
      <c r="J34" s="29"/>
      <c r="K34" s="29"/>
      <c r="L34" s="29"/>
      <c r="M34" s="29"/>
      <c r="N34" s="29"/>
      <c r="O34" s="29"/>
      <c r="P34" s="29"/>
      <c r="Q34" s="29"/>
      <c r="R34" s="29"/>
      <c r="T34" s="79"/>
    </row>
    <row r="35" spans="1:20" s="1" customFormat="true" ht="10.95" customHeight="true">
      <c r="A35" s="7" t="s">
        <v>3</v>
      </c>
      <c r="B35" s="30" t="s">
        <v>4</v>
      </c>
      <c r="C35" s="7" t="s">
        <v>5</v>
      </c>
      <c r="D35" s="30" t="s">
        <v>6</v>
      </c>
      <c r="E35" s="30" t="s">
        <v>7</v>
      </c>
      <c r="F35" s="30" t="s">
        <v>8</v>
      </c>
      <c r="G35" s="30" t="s">
        <v>9</v>
      </c>
      <c r="H35" s="30"/>
      <c r="I35" s="7" t="s">
        <v>10</v>
      </c>
      <c r="J35" s="7" t="s">
        <v>11</v>
      </c>
      <c r="K35" s="8" t="s">
        <v>12</v>
      </c>
      <c r="L35" s="9"/>
      <c r="M35" s="7" t="s">
        <v>11</v>
      </c>
      <c r="N35" s="52" t="s">
        <v>161</v>
      </c>
      <c r="O35" s="52"/>
      <c r="P35" s="9"/>
      <c r="Q35" s="9" t="s">
        <v>14</v>
      </c>
      <c r="R35" s="9" t="s">
        <v>15</v>
      </c>
      <c r="S35" s="83"/>
      <c r="T35" s="78"/>
    </row>
    <row r="36" spans="1:20" s="1" customFormat="true" ht="16.05" customHeight="true">
      <c r="A36" s="10"/>
      <c r="B36" s="30"/>
      <c r="C36" s="10"/>
      <c r="D36" s="30"/>
      <c r="E36" s="30"/>
      <c r="F36" s="30"/>
      <c r="G36" s="30"/>
      <c r="H36" s="30"/>
      <c r="I36" s="10"/>
      <c r="J36" s="10"/>
      <c r="K36" s="14"/>
      <c r="L36" s="15"/>
      <c r="M36" s="10"/>
      <c r="N36" s="53"/>
      <c r="O36" s="53"/>
      <c r="P36" s="15"/>
      <c r="Q36" s="15"/>
      <c r="R36" s="15"/>
      <c r="S36" s="83"/>
      <c r="T36" s="78"/>
    </row>
    <row r="37" spans="1:20" s="1" customFormat="true" ht="28.95" customHeight="true">
      <c r="A37" s="13"/>
      <c r="B37" s="30"/>
      <c r="C37" s="13"/>
      <c r="D37" s="30"/>
      <c r="E37" s="30"/>
      <c r="F37" s="30"/>
      <c r="G37" s="30"/>
      <c r="H37" s="30"/>
      <c r="I37" s="13"/>
      <c r="J37" s="13"/>
      <c r="K37" s="54" t="s">
        <v>16</v>
      </c>
      <c r="L37" s="55" t="s">
        <v>17</v>
      </c>
      <c r="M37" s="13"/>
      <c r="N37" s="55" t="s">
        <v>18</v>
      </c>
      <c r="O37" s="55" t="s">
        <v>19</v>
      </c>
      <c r="P37" s="55" t="s">
        <v>20</v>
      </c>
      <c r="Q37" s="55" t="s">
        <v>21</v>
      </c>
      <c r="R37" s="55" t="s">
        <v>22</v>
      </c>
      <c r="S37" s="83"/>
      <c r="T37" s="78"/>
    </row>
    <row r="38" spans="1:20" s="2" customFormat="true" ht="13.95" customHeight="true">
      <c r="A38" s="16">
        <v>4</v>
      </c>
      <c r="B38" s="17" t="str">
        <f>=DISPIMG("ID_783E3975C6FB40F189FF1ECC6B850ADC",1)</f>
        <v>=DISPIMG("ID_783E3975C6FB40F189FF1ECC6B850ADC",1)</v>
      </c>
      <c r="C38" s="18" t="s">
        <v>166</v>
      </c>
      <c r="D38" s="22" t="s">
        <v>163</v>
      </c>
      <c r="E38" s="19"/>
      <c r="F38" s="19"/>
      <c r="G38" s="20" t="s">
        <v>153</v>
      </c>
      <c r="H38" s="21" t="str">
        <f>=DISPIMG("ID_648E220923A8463FA0B0D0684563C4B2",1)</f>
        <v>=DISPIMG("ID_648E220923A8463FA0B0D0684563C4B2",1)</v>
      </c>
      <c r="I38" s="56">
        <v>23.64</v>
      </c>
      <c r="J38" s="57" t="s">
        <v>26</v>
      </c>
      <c r="K38" s="23">
        <v>14</v>
      </c>
      <c r="L38" s="58">
        <f>I38*K38</f>
        <v>330.96</v>
      </c>
      <c r="M38" s="57" t="s">
        <v>26</v>
      </c>
      <c r="N38" s="23">
        <v>0</v>
      </c>
      <c r="O38" s="23">
        <v>0</v>
      </c>
      <c r="P38" s="23">
        <f t="shared" ref="P38:P43" si="6">MAX(0,K38-O38)</f>
        <v>14</v>
      </c>
      <c r="Q38" s="23"/>
      <c r="R38" s="23"/>
      <c r="T38" s="79"/>
    </row>
    <row r="39" spans="1:20" s="2" customFormat="true">
      <c r="A39" s="16"/>
      <c r="B39" s="16"/>
      <c r="C39" s="22"/>
      <c r="D39" s="22"/>
      <c r="E39" s="23"/>
      <c r="F39" s="23"/>
      <c r="G39" s="20"/>
      <c r="H39" s="21"/>
      <c r="I39" s="59"/>
      <c r="J39" s="57" t="s">
        <v>27</v>
      </c>
      <c r="K39" s="23">
        <v>26</v>
      </c>
      <c r="L39" s="58">
        <f>I38*K39</f>
        <v>614.64</v>
      </c>
      <c r="M39" s="57" t="s">
        <v>27</v>
      </c>
      <c r="N39" s="23">
        <v>0</v>
      </c>
      <c r="O39" s="23">
        <v>3</v>
      </c>
      <c r="P39" s="23">
        <f t="shared" si="6"/>
        <v>23</v>
      </c>
      <c r="Q39" s="23"/>
      <c r="R39" s="23"/>
      <c r="T39" s="79"/>
    </row>
    <row r="40" spans="1:20" s="2" customFormat="true">
      <c r="A40" s="16"/>
      <c r="B40" s="16"/>
      <c r="C40" s="22"/>
      <c r="D40" s="22"/>
      <c r="E40" s="23"/>
      <c r="F40" s="23"/>
      <c r="G40" s="20"/>
      <c r="H40" s="21"/>
      <c r="I40" s="59"/>
      <c r="J40" s="57" t="s">
        <v>28</v>
      </c>
      <c r="K40" s="23">
        <v>36</v>
      </c>
      <c r="L40" s="58">
        <f>I38*K40</f>
        <v>851.04</v>
      </c>
      <c r="M40" s="57" t="s">
        <v>28</v>
      </c>
      <c r="N40" s="23">
        <v>0</v>
      </c>
      <c r="O40" s="23">
        <v>2</v>
      </c>
      <c r="P40" s="23">
        <f t="shared" si="6"/>
        <v>34</v>
      </c>
      <c r="Q40" s="23"/>
      <c r="R40" s="23"/>
      <c r="T40" s="79"/>
    </row>
    <row r="41" spans="1:20" s="2" customFormat="true">
      <c r="A41" s="16"/>
      <c r="B41" s="16"/>
      <c r="C41" s="22"/>
      <c r="D41" s="22"/>
      <c r="E41" s="23"/>
      <c r="F41" s="23"/>
      <c r="G41" s="20"/>
      <c r="H41" s="21"/>
      <c r="I41" s="59"/>
      <c r="J41" s="57" t="s">
        <v>29</v>
      </c>
      <c r="K41" s="23">
        <v>26</v>
      </c>
      <c r="L41" s="58">
        <f>I38*K41</f>
        <v>614.64</v>
      </c>
      <c r="M41" s="57" t="s">
        <v>29</v>
      </c>
      <c r="N41" s="23">
        <v>0</v>
      </c>
      <c r="O41" s="23">
        <v>0</v>
      </c>
      <c r="P41" s="23">
        <f t="shared" si="6"/>
        <v>26</v>
      </c>
      <c r="Q41" s="23"/>
      <c r="R41" s="23"/>
      <c r="T41" s="79"/>
    </row>
    <row r="42" spans="1:20" s="2" customFormat="true">
      <c r="A42" s="16"/>
      <c r="B42" s="16"/>
      <c r="C42" s="22"/>
      <c r="D42" s="22"/>
      <c r="E42" s="23"/>
      <c r="F42" s="23"/>
      <c r="G42" s="20"/>
      <c r="H42" s="21"/>
      <c r="I42" s="59"/>
      <c r="J42" s="57" t="s">
        <v>30</v>
      </c>
      <c r="K42" s="23">
        <v>16</v>
      </c>
      <c r="L42" s="58">
        <f>I38*K42</f>
        <v>378.24</v>
      </c>
      <c r="M42" s="57" t="s">
        <v>30</v>
      </c>
      <c r="N42" s="23">
        <v>0</v>
      </c>
      <c r="O42" s="23">
        <v>0</v>
      </c>
      <c r="P42" s="23">
        <f t="shared" si="6"/>
        <v>16</v>
      </c>
      <c r="Q42" s="23"/>
      <c r="R42" s="23"/>
      <c r="T42" s="79"/>
    </row>
    <row r="43" spans="1:20" s="2" customFormat="true">
      <c r="A43" s="16"/>
      <c r="B43" s="16"/>
      <c r="C43" s="22"/>
      <c r="D43" s="22"/>
      <c r="E43" s="23"/>
      <c r="F43" s="23"/>
      <c r="G43" s="20"/>
      <c r="H43" s="21"/>
      <c r="I43" s="60"/>
      <c r="J43" s="23" t="s">
        <v>31</v>
      </c>
      <c r="K43" s="23">
        <v>14</v>
      </c>
      <c r="L43" s="58">
        <f>I38*K43</f>
        <v>330.96</v>
      </c>
      <c r="M43" s="23" t="s">
        <v>31</v>
      </c>
      <c r="N43" s="23">
        <v>0</v>
      </c>
      <c r="O43" s="23">
        <v>0</v>
      </c>
      <c r="P43" s="23">
        <f t="shared" si="6"/>
        <v>14</v>
      </c>
      <c r="Q43" s="23"/>
      <c r="R43" s="23"/>
      <c r="T43" s="79"/>
    </row>
    <row r="44" spans="1:20" s="2" customFormat="true">
      <c r="A44" s="24"/>
      <c r="B44" s="24"/>
      <c r="C44" s="25"/>
      <c r="D44" s="25"/>
      <c r="E44" s="23"/>
      <c r="F44" s="23"/>
      <c r="G44" s="26"/>
      <c r="H44" s="27"/>
      <c r="I44" s="62"/>
      <c r="J44" s="61" t="s">
        <v>32</v>
      </c>
      <c r="K44" s="62">
        <f t="shared" ref="K44:N44" si="7">SUM(K38:K43)</f>
        <v>132</v>
      </c>
      <c r="L44" s="63">
        <f t="shared" si="7"/>
        <v>3120.48</v>
      </c>
      <c r="M44" s="61" t="s">
        <v>32</v>
      </c>
      <c r="N44" s="62">
        <f t="shared" si="7"/>
        <v>0</v>
      </c>
      <c r="O44" s="64" cm="1">
        <f t="array" ref="O44">SUMPRODUCT(--(O38:O43))</f>
        <v>5</v>
      </c>
      <c r="P44" s="64" cm="1">
        <f t="array" ref="P44">SUMPRODUCT(--(P38:P43))</f>
        <v>127</v>
      </c>
      <c r="Q44" s="64">
        <f>SUM(Q38:Q43)</f>
        <v>0</v>
      </c>
      <c r="R44" s="64">
        <f>SUM(R38:R43)</f>
        <v>0</v>
      </c>
      <c r="T44" s="79"/>
    </row>
    <row r="45" spans="1:20" s="2" customFormat="true" ht="17.4" customHeight="true">
      <c r="A45" s="28"/>
      <c r="B45" s="29"/>
      <c r="C45" s="29"/>
      <c r="D45" s="29"/>
      <c r="E45" s="29"/>
      <c r="F45" s="29"/>
      <c r="G45" s="29"/>
      <c r="H45" s="29"/>
      <c r="I45" s="29"/>
      <c r="J45" s="29"/>
      <c r="K45" s="29"/>
      <c r="L45" s="29"/>
      <c r="M45" s="29"/>
      <c r="N45" s="29"/>
      <c r="O45" s="29"/>
      <c r="P45" s="29"/>
      <c r="T45" s="79"/>
    </row>
    <row r="46" spans="1:20" s="1" customFormat="true" ht="10.95" customHeight="true">
      <c r="A46" s="7" t="s">
        <v>3</v>
      </c>
      <c r="B46" s="30" t="s">
        <v>4</v>
      </c>
      <c r="C46" s="7" t="s">
        <v>5</v>
      </c>
      <c r="D46" s="30" t="s">
        <v>6</v>
      </c>
      <c r="E46" s="30" t="s">
        <v>7</v>
      </c>
      <c r="F46" s="30" t="s">
        <v>8</v>
      </c>
      <c r="G46" s="30" t="s">
        <v>9</v>
      </c>
      <c r="H46" s="30"/>
      <c r="I46" s="7" t="s">
        <v>10</v>
      </c>
      <c r="J46" s="7" t="s">
        <v>11</v>
      </c>
      <c r="K46" s="8" t="s">
        <v>12</v>
      </c>
      <c r="L46" s="9"/>
      <c r="M46" s="7" t="s">
        <v>11</v>
      </c>
      <c r="N46" s="52" t="s">
        <v>161</v>
      </c>
      <c r="O46" s="52"/>
      <c r="P46" s="9"/>
      <c r="Q46" s="9" t="s">
        <v>14</v>
      </c>
      <c r="R46" s="9" t="s">
        <v>15</v>
      </c>
      <c r="S46" s="83"/>
      <c r="T46" s="78"/>
    </row>
    <row r="47" spans="1:20" s="1" customFormat="true" ht="16.05" customHeight="true">
      <c r="A47" s="10"/>
      <c r="B47" s="30"/>
      <c r="C47" s="10"/>
      <c r="D47" s="30"/>
      <c r="E47" s="30"/>
      <c r="F47" s="30"/>
      <c r="G47" s="30"/>
      <c r="H47" s="30"/>
      <c r="I47" s="10"/>
      <c r="J47" s="10"/>
      <c r="K47" s="14"/>
      <c r="L47" s="15"/>
      <c r="M47" s="10"/>
      <c r="N47" s="53"/>
      <c r="O47" s="53"/>
      <c r="P47" s="15"/>
      <c r="Q47" s="15"/>
      <c r="R47" s="15"/>
      <c r="S47" s="83"/>
      <c r="T47" s="78"/>
    </row>
    <row r="48" spans="1:20" s="1" customFormat="true" ht="28.95" customHeight="true">
      <c r="A48" s="13"/>
      <c r="B48" s="30"/>
      <c r="C48" s="13"/>
      <c r="D48" s="30"/>
      <c r="E48" s="30"/>
      <c r="F48" s="30"/>
      <c r="G48" s="30"/>
      <c r="H48" s="30"/>
      <c r="I48" s="13"/>
      <c r="J48" s="13"/>
      <c r="K48" s="54" t="s">
        <v>16</v>
      </c>
      <c r="L48" s="55" t="s">
        <v>17</v>
      </c>
      <c r="M48" s="13"/>
      <c r="N48" s="55" t="s">
        <v>18</v>
      </c>
      <c r="O48" s="55" t="s">
        <v>19</v>
      </c>
      <c r="P48" s="55" t="s">
        <v>20</v>
      </c>
      <c r="Q48" s="55" t="s">
        <v>21</v>
      </c>
      <c r="R48" s="55" t="s">
        <v>22</v>
      </c>
      <c r="S48" s="83"/>
      <c r="T48" s="78"/>
    </row>
    <row r="49" spans="1:20" s="2" customFormat="true" ht="13.95" customHeight="true">
      <c r="A49" s="16">
        <v>5</v>
      </c>
      <c r="B49" s="17" t="str">
        <f>=DISPIMG("ID_E8A19050D986477AAC4D9DB50C28DF35",1)</f>
        <v>=DISPIMG("ID_E8A19050D986477AAC4D9DB50C28DF35",1)</v>
      </c>
      <c r="C49" s="18" t="s">
        <v>167</v>
      </c>
      <c r="D49" s="18" t="s">
        <v>163</v>
      </c>
      <c r="E49" s="19"/>
      <c r="F49" s="19"/>
      <c r="G49" s="20" t="s">
        <v>155</v>
      </c>
      <c r="H49" s="21" t="str">
        <f>=DISPIMG("ID_FB19474EBEC64728BC87C532CEF6A7A4",1)</f>
        <v>=DISPIMG("ID_FB19474EBEC64728BC87C532CEF6A7A4",1)</v>
      </c>
      <c r="I49" s="56">
        <v>23.64</v>
      </c>
      <c r="J49" s="57" t="s">
        <v>26</v>
      </c>
      <c r="K49" s="23">
        <v>247</v>
      </c>
      <c r="L49" s="58">
        <f>I49*K49</f>
        <v>5839.08</v>
      </c>
      <c r="M49" s="57" t="s">
        <v>26</v>
      </c>
      <c r="N49" s="23">
        <v>1</v>
      </c>
      <c r="O49" s="23">
        <v>159</v>
      </c>
      <c r="P49" s="23">
        <f t="shared" ref="P49:P54" si="8">MAX(0,K49-O49)</f>
        <v>88</v>
      </c>
      <c r="Q49" s="23">
        <v>25</v>
      </c>
      <c r="R49" s="23"/>
      <c r="T49" s="79"/>
    </row>
    <row r="50" spans="1:20" s="2" customFormat="true">
      <c r="A50" s="16"/>
      <c r="B50" s="16"/>
      <c r="C50" s="22"/>
      <c r="D50" s="22"/>
      <c r="E50" s="23"/>
      <c r="F50" s="23"/>
      <c r="G50" s="20"/>
      <c r="H50" s="21"/>
      <c r="I50" s="59"/>
      <c r="J50" s="57" t="s">
        <v>27</v>
      </c>
      <c r="K50" s="23">
        <v>577</v>
      </c>
      <c r="L50" s="58">
        <f>I49*K50</f>
        <v>13640.28</v>
      </c>
      <c r="M50" s="57" t="s">
        <v>27</v>
      </c>
      <c r="N50" s="23">
        <v>0</v>
      </c>
      <c r="O50" s="23">
        <v>471</v>
      </c>
      <c r="P50" s="23">
        <f t="shared" si="8"/>
        <v>106</v>
      </c>
      <c r="Q50" s="23">
        <v>54</v>
      </c>
      <c r="R50" s="23"/>
      <c r="T50" s="79"/>
    </row>
    <row r="51" spans="1:20" s="2" customFormat="true">
      <c r="A51" s="16"/>
      <c r="B51" s="16"/>
      <c r="C51" s="22"/>
      <c r="D51" s="22"/>
      <c r="E51" s="23"/>
      <c r="F51" s="23"/>
      <c r="G51" s="20"/>
      <c r="H51" s="21"/>
      <c r="I51" s="59"/>
      <c r="J51" s="57" t="s">
        <v>28</v>
      </c>
      <c r="K51" s="23">
        <v>835</v>
      </c>
      <c r="L51" s="58">
        <f>I49*K51</f>
        <v>19739.4</v>
      </c>
      <c r="M51" s="57" t="s">
        <v>28</v>
      </c>
      <c r="N51" s="23">
        <v>4</v>
      </c>
      <c r="O51" s="23">
        <v>574</v>
      </c>
      <c r="P51" s="23">
        <f t="shared" si="8"/>
        <v>261</v>
      </c>
      <c r="Q51" s="23">
        <v>86</v>
      </c>
      <c r="R51" s="23"/>
      <c r="T51" s="79"/>
    </row>
    <row r="52" spans="1:20" s="2" customFormat="true">
      <c r="A52" s="16"/>
      <c r="B52" s="16"/>
      <c r="C52" s="22"/>
      <c r="D52" s="22"/>
      <c r="E52" s="23"/>
      <c r="F52" s="23"/>
      <c r="G52" s="20"/>
      <c r="H52" s="21"/>
      <c r="I52" s="59"/>
      <c r="J52" s="57" t="s">
        <v>29</v>
      </c>
      <c r="K52" s="23">
        <v>740</v>
      </c>
      <c r="L52" s="58">
        <f>I49*K52</f>
        <v>17493.6</v>
      </c>
      <c r="M52" s="57" t="s">
        <v>29</v>
      </c>
      <c r="N52" s="23">
        <v>2</v>
      </c>
      <c r="O52" s="23">
        <v>427</v>
      </c>
      <c r="P52" s="23">
        <f t="shared" si="8"/>
        <v>313</v>
      </c>
      <c r="Q52" s="23">
        <v>62</v>
      </c>
      <c r="R52" s="23"/>
      <c r="T52" s="79"/>
    </row>
    <row r="53" spans="1:20" s="2" customFormat="true">
      <c r="A53" s="16"/>
      <c r="B53" s="16"/>
      <c r="C53" s="22"/>
      <c r="D53" s="22"/>
      <c r="E53" s="23"/>
      <c r="F53" s="23"/>
      <c r="G53" s="20"/>
      <c r="H53" s="21"/>
      <c r="I53" s="59"/>
      <c r="J53" s="57" t="s">
        <v>30</v>
      </c>
      <c r="K53" s="23">
        <v>564</v>
      </c>
      <c r="L53" s="58">
        <f>I49*K53</f>
        <v>13332.96</v>
      </c>
      <c r="M53" s="57" t="s">
        <v>30</v>
      </c>
      <c r="N53" s="23">
        <v>1</v>
      </c>
      <c r="O53" s="23">
        <v>327</v>
      </c>
      <c r="P53" s="23">
        <f t="shared" si="8"/>
        <v>237</v>
      </c>
      <c r="Q53" s="23">
        <v>47</v>
      </c>
      <c r="R53" s="23"/>
      <c r="T53" s="79"/>
    </row>
    <row r="54" spans="1:20" s="2" customFormat="true">
      <c r="A54" s="16"/>
      <c r="B54" s="16"/>
      <c r="C54" s="22"/>
      <c r="D54" s="22"/>
      <c r="E54" s="23"/>
      <c r="F54" s="23"/>
      <c r="G54" s="20"/>
      <c r="H54" s="21"/>
      <c r="I54" s="60"/>
      <c r="J54" s="23" t="s">
        <v>31</v>
      </c>
      <c r="K54" s="23">
        <v>243</v>
      </c>
      <c r="L54" s="58">
        <f>I49*K54</f>
        <v>5744.52</v>
      </c>
      <c r="M54" s="23" t="s">
        <v>31</v>
      </c>
      <c r="N54" s="23">
        <v>1</v>
      </c>
      <c r="O54" s="23">
        <v>234</v>
      </c>
      <c r="P54" s="23">
        <f t="shared" si="8"/>
        <v>9</v>
      </c>
      <c r="Q54" s="23">
        <v>23</v>
      </c>
      <c r="R54" s="23"/>
      <c r="T54" s="79"/>
    </row>
    <row r="55" spans="1:20" s="2" customFormat="true">
      <c r="A55" s="24"/>
      <c r="B55" s="24"/>
      <c r="C55" s="25"/>
      <c r="D55" s="25"/>
      <c r="E55" s="23"/>
      <c r="F55" s="23"/>
      <c r="G55" s="26"/>
      <c r="H55" s="27"/>
      <c r="I55" s="62"/>
      <c r="J55" s="61" t="s">
        <v>32</v>
      </c>
      <c r="K55" s="62">
        <f t="shared" ref="K55:N55" si="9">SUM(K49:K54)</f>
        <v>3206</v>
      </c>
      <c r="L55" s="63">
        <f t="shared" si="9"/>
        <v>75789.84</v>
      </c>
      <c r="M55" s="61" t="s">
        <v>32</v>
      </c>
      <c r="N55" s="62">
        <f t="shared" si="9"/>
        <v>9</v>
      </c>
      <c r="O55" s="64" cm="1">
        <f t="array" ref="O55">SUMPRODUCT(--(O49:O54))</f>
        <v>2192</v>
      </c>
      <c r="P55" s="64" cm="1">
        <f t="array" ref="P55">SUMPRODUCT(--(P49:P54))</f>
        <v>1014</v>
      </c>
      <c r="Q55" s="64">
        <f>SUM(Q49:Q54)</f>
        <v>297</v>
      </c>
      <c r="R55" s="64">
        <f>SUM(R49:R54)</f>
        <v>0</v>
      </c>
      <c r="T55" s="79"/>
    </row>
    <row r="56" spans="1:20" s="2" customFormat="true" ht="17.4" customHeight="true">
      <c r="A56" s="28"/>
      <c r="B56" s="29"/>
      <c r="C56" s="29"/>
      <c r="D56" s="29"/>
      <c r="E56" s="29"/>
      <c r="F56" s="29"/>
      <c r="G56" s="29"/>
      <c r="H56" s="29"/>
      <c r="I56" s="29"/>
      <c r="J56" s="29"/>
      <c r="K56" s="29"/>
      <c r="L56" s="29"/>
      <c r="M56" s="29"/>
      <c r="N56" s="29"/>
      <c r="O56" s="29"/>
      <c r="P56" s="29"/>
      <c r="T56" s="79"/>
    </row>
    <row r="57" spans="1:20" s="1" customFormat="true" ht="10.95" customHeight="true">
      <c r="A57" s="7" t="s">
        <v>3</v>
      </c>
      <c r="B57" s="30" t="s">
        <v>4</v>
      </c>
      <c r="C57" s="7" t="s">
        <v>5</v>
      </c>
      <c r="D57" s="30" t="s">
        <v>6</v>
      </c>
      <c r="E57" s="30" t="s">
        <v>7</v>
      </c>
      <c r="F57" s="30" t="s">
        <v>8</v>
      </c>
      <c r="G57" s="30" t="s">
        <v>9</v>
      </c>
      <c r="H57" s="30"/>
      <c r="I57" s="7" t="s">
        <v>10</v>
      </c>
      <c r="J57" s="7" t="s">
        <v>11</v>
      </c>
      <c r="K57" s="8" t="s">
        <v>12</v>
      </c>
      <c r="L57" s="9"/>
      <c r="M57" s="7" t="s">
        <v>11</v>
      </c>
      <c r="N57" s="52" t="s">
        <v>161</v>
      </c>
      <c r="O57" s="52"/>
      <c r="P57" s="9"/>
      <c r="Q57" s="9" t="s">
        <v>14</v>
      </c>
      <c r="R57" s="9" t="s">
        <v>15</v>
      </c>
      <c r="S57" s="83"/>
      <c r="T57" s="78"/>
    </row>
    <row r="58" spans="1:20" s="1" customFormat="true" ht="16.05" customHeight="true">
      <c r="A58" s="10"/>
      <c r="B58" s="30"/>
      <c r="C58" s="10"/>
      <c r="D58" s="30"/>
      <c r="E58" s="30"/>
      <c r="F58" s="30"/>
      <c r="G58" s="30"/>
      <c r="H58" s="30"/>
      <c r="I58" s="10"/>
      <c r="J58" s="10"/>
      <c r="K58" s="14"/>
      <c r="L58" s="15"/>
      <c r="M58" s="10"/>
      <c r="N58" s="53"/>
      <c r="O58" s="53"/>
      <c r="P58" s="15"/>
      <c r="Q58" s="15"/>
      <c r="R58" s="15"/>
      <c r="S58" s="83"/>
      <c r="T58" s="78"/>
    </row>
    <row r="59" spans="1:20" s="1" customFormat="true" ht="28.95" customHeight="true">
      <c r="A59" s="13"/>
      <c r="B59" s="30"/>
      <c r="C59" s="13"/>
      <c r="D59" s="30"/>
      <c r="E59" s="30"/>
      <c r="F59" s="30"/>
      <c r="G59" s="30"/>
      <c r="H59" s="30"/>
      <c r="I59" s="13"/>
      <c r="J59" s="13"/>
      <c r="K59" s="54" t="s">
        <v>16</v>
      </c>
      <c r="L59" s="55" t="s">
        <v>17</v>
      </c>
      <c r="M59" s="13"/>
      <c r="N59" s="55" t="s">
        <v>18</v>
      </c>
      <c r="O59" s="55" t="s">
        <v>19</v>
      </c>
      <c r="P59" s="55" t="s">
        <v>20</v>
      </c>
      <c r="Q59" s="55" t="s">
        <v>21</v>
      </c>
      <c r="R59" s="55" t="s">
        <v>22</v>
      </c>
      <c r="S59" s="83"/>
      <c r="T59" s="78"/>
    </row>
    <row r="60" spans="1:20" s="2" customFormat="true" ht="13.95" customHeight="true">
      <c r="A60" s="16">
        <v>6</v>
      </c>
      <c r="B60" s="17" t="str">
        <f>=DISPIMG("ID_083D33B27F354BE58BA0027CD61980D7",1)</f>
        <v>=DISPIMG("ID_083D33B27F354BE58BA0027CD61980D7",1)</v>
      </c>
      <c r="C60" s="18" t="s">
        <v>166</v>
      </c>
      <c r="D60" s="18" t="s">
        <v>163</v>
      </c>
      <c r="E60" s="19"/>
      <c r="F60" s="19"/>
      <c r="G60" s="20" t="s">
        <v>157</v>
      </c>
      <c r="H60" s="21" t="str">
        <f>=DISPIMG("ID_1409A879005148C89C6510C8F26B6C23",1)</f>
        <v>=DISPIMG("ID_1409A879005148C89C6510C8F26B6C23",1)</v>
      </c>
      <c r="I60" s="56">
        <v>23.64</v>
      </c>
      <c r="J60" s="57" t="s">
        <v>26</v>
      </c>
      <c r="K60" s="23">
        <v>0</v>
      </c>
      <c r="L60" s="58">
        <f>I60*K60</f>
        <v>0</v>
      </c>
      <c r="M60" s="57" t="s">
        <v>26</v>
      </c>
      <c r="N60" s="23">
        <v>0</v>
      </c>
      <c r="O60" s="23">
        <v>0</v>
      </c>
      <c r="P60" s="23">
        <f t="shared" ref="P60:P65" si="10">MAX(0,K60-O60)</f>
        <v>0</v>
      </c>
      <c r="Q60" s="23"/>
      <c r="R60" s="23"/>
      <c r="T60" s="79"/>
    </row>
    <row r="61" spans="1:20" s="2" customFormat="true">
      <c r="A61" s="16"/>
      <c r="B61" s="16"/>
      <c r="C61" s="22"/>
      <c r="D61" s="22"/>
      <c r="E61" s="23"/>
      <c r="F61" s="23"/>
      <c r="G61" s="20"/>
      <c r="H61" s="21"/>
      <c r="I61" s="59"/>
      <c r="J61" s="57" t="s">
        <v>27</v>
      </c>
      <c r="K61" s="23">
        <v>12</v>
      </c>
      <c r="L61" s="58">
        <f>I60*K61</f>
        <v>283.68</v>
      </c>
      <c r="M61" s="57" t="s">
        <v>27</v>
      </c>
      <c r="N61" s="23">
        <v>0</v>
      </c>
      <c r="O61" s="23">
        <v>3</v>
      </c>
      <c r="P61" s="23">
        <f t="shared" si="10"/>
        <v>9</v>
      </c>
      <c r="Q61" s="23"/>
      <c r="R61" s="23"/>
      <c r="T61" s="79"/>
    </row>
    <row r="62" spans="1:20" s="2" customFormat="true">
      <c r="A62" s="16"/>
      <c r="B62" s="16"/>
      <c r="C62" s="22"/>
      <c r="D62" s="22"/>
      <c r="E62" s="23"/>
      <c r="F62" s="23"/>
      <c r="G62" s="20"/>
      <c r="H62" s="21"/>
      <c r="I62" s="59"/>
      <c r="J62" s="57" t="s">
        <v>28</v>
      </c>
      <c r="K62" s="23">
        <v>22</v>
      </c>
      <c r="L62" s="58">
        <f>I60*K62</f>
        <v>520.08</v>
      </c>
      <c r="M62" s="57" t="s">
        <v>28</v>
      </c>
      <c r="N62" s="23">
        <v>0</v>
      </c>
      <c r="O62" s="23">
        <v>2</v>
      </c>
      <c r="P62" s="23">
        <f t="shared" si="10"/>
        <v>20</v>
      </c>
      <c r="Q62" s="23"/>
      <c r="R62" s="23"/>
      <c r="T62" s="79"/>
    </row>
    <row r="63" spans="1:20" s="2" customFormat="true">
      <c r="A63" s="16"/>
      <c r="B63" s="16"/>
      <c r="C63" s="22"/>
      <c r="D63" s="22"/>
      <c r="E63" s="23"/>
      <c r="F63" s="23"/>
      <c r="G63" s="20"/>
      <c r="H63" s="21"/>
      <c r="I63" s="59"/>
      <c r="J63" s="57" t="s">
        <v>29</v>
      </c>
      <c r="K63" s="23">
        <v>10</v>
      </c>
      <c r="L63" s="58">
        <f>I60*K63</f>
        <v>236.4</v>
      </c>
      <c r="M63" s="57" t="s">
        <v>29</v>
      </c>
      <c r="N63" s="23">
        <v>0</v>
      </c>
      <c r="O63" s="23">
        <v>0</v>
      </c>
      <c r="P63" s="23">
        <f t="shared" si="10"/>
        <v>10</v>
      </c>
      <c r="Q63" s="23"/>
      <c r="R63" s="23"/>
      <c r="T63" s="79"/>
    </row>
    <row r="64" spans="1:20" s="2" customFormat="true">
      <c r="A64" s="16"/>
      <c r="B64" s="16"/>
      <c r="C64" s="22"/>
      <c r="D64" s="22"/>
      <c r="E64" s="23"/>
      <c r="F64" s="23"/>
      <c r="G64" s="20"/>
      <c r="H64" s="21"/>
      <c r="I64" s="59"/>
      <c r="J64" s="57" t="s">
        <v>30</v>
      </c>
      <c r="K64" s="23">
        <v>0</v>
      </c>
      <c r="L64" s="58">
        <f>I60*K64</f>
        <v>0</v>
      </c>
      <c r="M64" s="57" t="s">
        <v>30</v>
      </c>
      <c r="N64" s="23">
        <v>0</v>
      </c>
      <c r="O64" s="23">
        <v>0</v>
      </c>
      <c r="P64" s="23">
        <f t="shared" si="10"/>
        <v>0</v>
      </c>
      <c r="Q64" s="23"/>
      <c r="R64" s="23"/>
      <c r="T64" s="79"/>
    </row>
    <row r="65" spans="1:20" s="2" customFormat="true">
      <c r="A65" s="16"/>
      <c r="B65" s="16"/>
      <c r="C65" s="22"/>
      <c r="D65" s="22"/>
      <c r="E65" s="23"/>
      <c r="F65" s="23"/>
      <c r="G65" s="20"/>
      <c r="H65" s="21"/>
      <c r="I65" s="60"/>
      <c r="J65" s="23" t="s">
        <v>31</v>
      </c>
      <c r="K65" s="23">
        <v>0</v>
      </c>
      <c r="L65" s="58">
        <f>I60*K65</f>
        <v>0</v>
      </c>
      <c r="M65" s="23" t="s">
        <v>31</v>
      </c>
      <c r="N65" s="62">
        <v>0</v>
      </c>
      <c r="O65" s="23">
        <v>0</v>
      </c>
      <c r="P65" s="23">
        <f t="shared" si="10"/>
        <v>0</v>
      </c>
      <c r="Q65" s="23"/>
      <c r="R65" s="23"/>
      <c r="T65" s="79"/>
    </row>
    <row r="66" spans="1:20" s="2" customFormat="true">
      <c r="A66" s="24"/>
      <c r="B66" s="24"/>
      <c r="C66" s="25"/>
      <c r="D66" s="25"/>
      <c r="E66" s="23"/>
      <c r="F66" s="23"/>
      <c r="G66" s="26"/>
      <c r="H66" s="27"/>
      <c r="I66" s="62"/>
      <c r="J66" s="61" t="s">
        <v>32</v>
      </c>
      <c r="K66" s="62">
        <f t="shared" ref="K66:N66" si="11">SUM(K60:K65)</f>
        <v>44</v>
      </c>
      <c r="L66" s="63">
        <f t="shared" si="11"/>
        <v>1040.16</v>
      </c>
      <c r="M66" s="61" t="s">
        <v>32</v>
      </c>
      <c r="N66" s="62">
        <f t="shared" si="11"/>
        <v>0</v>
      </c>
      <c r="O66" s="64" cm="1">
        <f t="array" ref="O66">SUMPRODUCT(--(O60:O65))</f>
        <v>5</v>
      </c>
      <c r="P66" s="64" cm="1">
        <f t="array" ref="P66">SUMPRODUCT(--(P60:P65))</f>
        <v>39</v>
      </c>
      <c r="Q66" s="64">
        <f>SUM(Q60:Q65)</f>
        <v>0</v>
      </c>
      <c r="R66" s="64">
        <f>SUM(R60:R65)</f>
        <v>0</v>
      </c>
      <c r="T66" s="79"/>
    </row>
    <row r="67" spans="1:16" s="3" customFormat="true">
      <c r="A67" s="4"/>
      <c r="B67" s="4"/>
      <c r="C67" s="31"/>
      <c r="D67" s="31"/>
      <c r="E67" s="31"/>
      <c r="F67" s="31"/>
      <c r="G67" s="31"/>
      <c r="H67" s="31"/>
      <c r="I67" s="65"/>
      <c r="J67" s="31"/>
      <c r="K67" s="65"/>
      <c r="L67" s="65"/>
      <c r="M67" s="31"/>
      <c r="N67" s="65"/>
      <c r="O67" s="65"/>
      <c r="P67" s="65"/>
    </row>
    <row r="68" spans="1:16" s="3" customFormat="true">
      <c r="A68" s="4"/>
      <c r="B68" s="4"/>
      <c r="C68" s="31"/>
      <c r="D68" s="31"/>
      <c r="E68" s="31"/>
      <c r="F68" s="31"/>
      <c r="G68" s="31"/>
      <c r="H68" s="31"/>
      <c r="I68" s="65"/>
      <c r="J68" s="31"/>
      <c r="K68" s="65"/>
      <c r="L68" s="65"/>
      <c r="M68" s="31"/>
      <c r="N68" s="65"/>
      <c r="O68" s="65"/>
      <c r="P68" s="65"/>
    </row>
    <row r="69" spans="16:16">
      <c r="P69" s="65"/>
    </row>
    <row r="70" spans="1:14" s="3" customFormat="true" ht="46" customHeight="true">
      <c r="A70" s="32" t="s">
        <v>45</v>
      </c>
      <c r="B70" s="33"/>
      <c r="C70" s="34" t="s">
        <v>5</v>
      </c>
      <c r="D70" s="35" t="s">
        <v>6</v>
      </c>
      <c r="E70" s="35" t="s">
        <v>7</v>
      </c>
      <c r="F70" s="35" t="s">
        <v>8</v>
      </c>
      <c r="G70" s="32" t="s">
        <v>9</v>
      </c>
      <c r="H70" s="33"/>
      <c r="I70" s="34" t="s">
        <v>46</v>
      </c>
      <c r="J70" s="34" t="s">
        <v>47</v>
      </c>
      <c r="K70" s="32" t="s">
        <v>49</v>
      </c>
      <c r="L70" s="84"/>
      <c r="M70" s="84"/>
      <c r="N70" s="33"/>
    </row>
    <row r="71" spans="1:14" s="3" customFormat="true" ht="25.05" customHeight="true">
      <c r="A71" s="36"/>
      <c r="B71" s="37"/>
      <c r="C71" s="18" t="s">
        <v>168</v>
      </c>
      <c r="D71" s="18" t="s">
        <v>163</v>
      </c>
      <c r="E71" s="38"/>
      <c r="F71" s="38"/>
      <c r="G71" s="39" t="s">
        <v>159</v>
      </c>
      <c r="H71" s="40"/>
      <c r="I71" s="68" t="str">
        <f>SUM(K11,K22,K33,K44,K55,K66)&amp;"件"</f>
        <v>15804件</v>
      </c>
      <c r="J71" s="68" t="str">
        <f>SUM(O11,O22,O33,O44,O55,O66)&amp;"件"</f>
        <v>7223件</v>
      </c>
      <c r="K71" s="69"/>
      <c r="L71" s="71"/>
      <c r="M71" s="71"/>
      <c r="N71" s="70"/>
    </row>
    <row r="72" spans="1:14" s="3" customFormat="true" ht="25.05" customHeight="true">
      <c r="A72" s="41"/>
      <c r="B72" s="42"/>
      <c r="C72" s="22"/>
      <c r="D72" s="22"/>
      <c r="E72" s="43"/>
      <c r="F72" s="43"/>
      <c r="G72" s="44"/>
      <c r="H72" s="45"/>
      <c r="I72" s="16"/>
      <c r="J72" s="16"/>
      <c r="K72" s="72"/>
      <c r="L72" s="85"/>
      <c r="M72" s="85"/>
      <c r="N72" s="73"/>
    </row>
    <row r="73" spans="1:14" s="3" customFormat="true">
      <c r="A73" s="41"/>
      <c r="B73" s="42"/>
      <c r="C73" s="22"/>
      <c r="D73" s="22"/>
      <c r="E73" s="43"/>
      <c r="F73" s="43"/>
      <c r="G73" s="44"/>
      <c r="H73" s="45"/>
      <c r="I73" s="16"/>
      <c r="J73" s="16"/>
      <c r="K73" s="72"/>
      <c r="L73" s="85"/>
      <c r="M73" s="85"/>
      <c r="N73" s="73"/>
    </row>
    <row r="74" spans="1:14" s="3" customFormat="true">
      <c r="A74" s="41"/>
      <c r="B74" s="42"/>
      <c r="C74" s="22"/>
      <c r="D74" s="22"/>
      <c r="E74" s="43"/>
      <c r="F74" s="43"/>
      <c r="G74" s="44"/>
      <c r="H74" s="45"/>
      <c r="I74" s="16"/>
      <c r="J74" s="16"/>
      <c r="K74" s="72"/>
      <c r="L74" s="85"/>
      <c r="M74" s="85"/>
      <c r="N74" s="73"/>
    </row>
    <row r="75" spans="1:14" s="3" customFormat="true">
      <c r="A75" s="41"/>
      <c r="B75" s="42"/>
      <c r="C75" s="22"/>
      <c r="D75" s="22"/>
      <c r="E75" s="43"/>
      <c r="F75" s="43"/>
      <c r="G75" s="44"/>
      <c r="H75" s="45"/>
      <c r="I75" s="16"/>
      <c r="J75" s="16"/>
      <c r="K75" s="72"/>
      <c r="L75" s="85"/>
      <c r="M75" s="85"/>
      <c r="N75" s="73"/>
    </row>
    <row r="76" spans="1:14" s="3" customFormat="true" customHeight="true">
      <c r="A76" s="41"/>
      <c r="B76" s="42"/>
      <c r="C76" s="22"/>
      <c r="D76" s="22"/>
      <c r="E76" s="43"/>
      <c r="F76" s="43"/>
      <c r="G76" s="44"/>
      <c r="H76" s="45"/>
      <c r="I76" s="16"/>
      <c r="J76" s="16"/>
      <c r="K76" s="72"/>
      <c r="L76" s="85"/>
      <c r="M76" s="85"/>
      <c r="N76" s="73"/>
    </row>
    <row r="77" spans="1:14" s="3" customFormat="true">
      <c r="A77" s="46"/>
      <c r="B77" s="47"/>
      <c r="C77" s="25"/>
      <c r="D77" s="25"/>
      <c r="E77" s="48"/>
      <c r="F77" s="48"/>
      <c r="G77" s="49"/>
      <c r="H77" s="50"/>
      <c r="I77" s="24"/>
      <c r="J77" s="24"/>
      <c r="K77" s="75"/>
      <c r="L77" s="77"/>
      <c r="M77" s="77"/>
      <c r="N77" s="76"/>
    </row>
  </sheetData>
  <mergeCells count="157">
    <mergeCell ref="A1:L1"/>
    <mergeCell ref="M1:R1"/>
    <mergeCell ref="A12:P12"/>
    <mergeCell ref="A23:P23"/>
    <mergeCell ref="A34:P34"/>
    <mergeCell ref="A45:P45"/>
    <mergeCell ref="A56:P56"/>
    <mergeCell ref="A70:B70"/>
    <mergeCell ref="G70:H70"/>
    <mergeCell ref="K70:N70"/>
    <mergeCell ref="A2:A4"/>
    <mergeCell ref="A5:A11"/>
    <mergeCell ref="A13:A15"/>
    <mergeCell ref="A16:A22"/>
    <mergeCell ref="A24:A26"/>
    <mergeCell ref="A27:A33"/>
    <mergeCell ref="A35:A37"/>
    <mergeCell ref="A38:A44"/>
    <mergeCell ref="A46:A48"/>
    <mergeCell ref="A49:A55"/>
    <mergeCell ref="A57:A59"/>
    <mergeCell ref="A60:A66"/>
    <mergeCell ref="B2:B4"/>
    <mergeCell ref="B5:B11"/>
    <mergeCell ref="B13:B15"/>
    <mergeCell ref="B16:B22"/>
    <mergeCell ref="B24:B26"/>
    <mergeCell ref="B27:B33"/>
    <mergeCell ref="B35:B37"/>
    <mergeCell ref="B38:B44"/>
    <mergeCell ref="B46:B48"/>
    <mergeCell ref="B49:B55"/>
    <mergeCell ref="B57:B59"/>
    <mergeCell ref="B60:B66"/>
    <mergeCell ref="C2:C4"/>
    <mergeCell ref="C5:C11"/>
    <mergeCell ref="C13:C15"/>
    <mergeCell ref="C16:C22"/>
    <mergeCell ref="C24:C26"/>
    <mergeCell ref="C27:C33"/>
    <mergeCell ref="C35:C37"/>
    <mergeCell ref="C38:C44"/>
    <mergeCell ref="C46:C48"/>
    <mergeCell ref="C49:C55"/>
    <mergeCell ref="C57:C59"/>
    <mergeCell ref="C60:C66"/>
    <mergeCell ref="C71:C77"/>
    <mergeCell ref="D2:D4"/>
    <mergeCell ref="D5:D11"/>
    <mergeCell ref="D13:D15"/>
    <mergeCell ref="D16:D22"/>
    <mergeCell ref="D24:D26"/>
    <mergeCell ref="D27:D33"/>
    <mergeCell ref="D35:D37"/>
    <mergeCell ref="D38:D44"/>
    <mergeCell ref="D46:D48"/>
    <mergeCell ref="D49:D55"/>
    <mergeCell ref="D57:D59"/>
    <mergeCell ref="D60:D66"/>
    <mergeCell ref="D71:D77"/>
    <mergeCell ref="E2:E4"/>
    <mergeCell ref="E5:E11"/>
    <mergeCell ref="E13:E15"/>
    <mergeCell ref="E16:E22"/>
    <mergeCell ref="E24:E26"/>
    <mergeCell ref="E27:E33"/>
    <mergeCell ref="E35:E37"/>
    <mergeCell ref="E38:E44"/>
    <mergeCell ref="E46:E48"/>
    <mergeCell ref="E49:E55"/>
    <mergeCell ref="E57:E59"/>
    <mergeCell ref="E60:E66"/>
    <mergeCell ref="E71:E77"/>
    <mergeCell ref="F2:F4"/>
    <mergeCell ref="F5:F11"/>
    <mergeCell ref="F13:F15"/>
    <mergeCell ref="F16:F22"/>
    <mergeCell ref="F24:F26"/>
    <mergeCell ref="F27:F33"/>
    <mergeCell ref="F35:F37"/>
    <mergeCell ref="F38:F44"/>
    <mergeCell ref="F46:F48"/>
    <mergeCell ref="F49:F55"/>
    <mergeCell ref="F57:F59"/>
    <mergeCell ref="F60:F66"/>
    <mergeCell ref="F71:F77"/>
    <mergeCell ref="G5:G11"/>
    <mergeCell ref="G16:G22"/>
    <mergeCell ref="G27:G33"/>
    <mergeCell ref="G38:G44"/>
    <mergeCell ref="G49:G55"/>
    <mergeCell ref="G60:G66"/>
    <mergeCell ref="H5:H11"/>
    <mergeCell ref="H16:H22"/>
    <mergeCell ref="H27:H33"/>
    <mergeCell ref="H38:H44"/>
    <mergeCell ref="H49:H55"/>
    <mergeCell ref="H60:H66"/>
    <mergeCell ref="I2:I4"/>
    <mergeCell ref="I5:I10"/>
    <mergeCell ref="I13:I15"/>
    <mergeCell ref="I16:I21"/>
    <mergeCell ref="I24:I26"/>
    <mergeCell ref="I27:I32"/>
    <mergeCell ref="I35:I37"/>
    <mergeCell ref="I38:I43"/>
    <mergeCell ref="I46:I48"/>
    <mergeCell ref="I49:I54"/>
    <mergeCell ref="I57:I59"/>
    <mergeCell ref="I60:I65"/>
    <mergeCell ref="I71:I77"/>
    <mergeCell ref="J2:J4"/>
    <mergeCell ref="J13:J15"/>
    <mergeCell ref="J24:J26"/>
    <mergeCell ref="J35:J37"/>
    <mergeCell ref="J46:J48"/>
    <mergeCell ref="J57:J59"/>
    <mergeCell ref="J71:J77"/>
    <mergeCell ref="M2:M4"/>
    <mergeCell ref="M13:M15"/>
    <mergeCell ref="M24:M26"/>
    <mergeCell ref="M35:M37"/>
    <mergeCell ref="M46:M48"/>
    <mergeCell ref="M57:M59"/>
    <mergeCell ref="Q2:Q3"/>
    <mergeCell ref="Q13:Q14"/>
    <mergeCell ref="Q24:Q25"/>
    <mergeCell ref="Q35:Q36"/>
    <mergeCell ref="Q46:Q47"/>
    <mergeCell ref="Q57:Q58"/>
    <mergeCell ref="R2:R3"/>
    <mergeCell ref="R13:R14"/>
    <mergeCell ref="R24:R25"/>
    <mergeCell ref="R35:R36"/>
    <mergeCell ref="R46:R47"/>
    <mergeCell ref="R57:R58"/>
    <mergeCell ref="G2:H4"/>
    <mergeCell ref="K2:L3"/>
    <mergeCell ref="N2:P3"/>
    <mergeCell ref="G13:H15"/>
    <mergeCell ref="K13:L14"/>
    <mergeCell ref="N13:P14"/>
    <mergeCell ref="G24:H26"/>
    <mergeCell ref="K24:L25"/>
    <mergeCell ref="N24:P25"/>
    <mergeCell ref="G35:H37"/>
    <mergeCell ref="K35:L36"/>
    <mergeCell ref="N35:P36"/>
    <mergeCell ref="G46:H48"/>
    <mergeCell ref="K46:L47"/>
    <mergeCell ref="N46:P47"/>
    <mergeCell ref="G57:H59"/>
    <mergeCell ref="K57:L58"/>
    <mergeCell ref="N57:P58"/>
    <mergeCell ref="A71:B77"/>
    <mergeCell ref="G71:H77"/>
    <mergeCell ref="K71:N77"/>
  </mergeCells>
  <pageMargins left="0.75" right="0.75" top="1" bottom="1" header="0.5" footer="0.5"/>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U77"/>
  <sheetViews>
    <sheetView topLeftCell="A38" zoomScale="70" zoomScaleNormal="70" workbookViewId="0">
      <selection activeCell="P60" sqref="P60:P65"/>
    </sheetView>
  </sheetViews>
  <sheetFormatPr defaultColWidth="8.55555555555556" defaultRowHeight="14.4"/>
  <cols>
    <col customWidth="true" max="1" min="1" style="3" width="7"/>
    <col customWidth="true" max="2" min="2" style="3" width="8.77777777777778"/>
    <col customWidth="true" max="3" min="3" style="3" width="18.6666666666667"/>
    <col customWidth="true" max="4" min="4" style="3" width="9.88888888888889"/>
    <col customWidth="true" hidden="true" max="5" min="5" style="3" width="12.7777777777778"/>
    <col customWidth="true" hidden="true" max="6" min="6" style="3" width="12.6666666666667"/>
    <col customWidth="true" max="7" min="7" style="3" width="13.5740740740741"/>
    <col customWidth="true" max="8" min="8" style="3" width="11.5555555555556"/>
    <col customWidth="true" max="9" min="9" style="3" width="13.9444444444444"/>
    <col customWidth="true" max="10" min="10" style="4" width="13.2037037037037"/>
    <col customWidth="true" max="11" min="11" style="3" width="12.5833333333333"/>
    <col customWidth="true" max="12" min="12" style="3" width="15.3055555555556"/>
    <col customWidth="true" max="13" min="13" style="4" width="12.5925925925926"/>
    <col customWidth="true" max="14" min="14" style="3" width="10.8611111111111"/>
    <col customWidth="true" max="15" min="15" style="3" width="11.3518518518519"/>
    <col customWidth="true" max="18" min="16" style="3" width="13.0833333333333"/>
    <col max="16384" min="19" style="3" width="8.55555555555556"/>
  </cols>
  <sheetData>
    <row r="1" spans="1:20" s="1" customFormat="true" ht="58.8" customHeight="true">
      <c r="A1" s="5" t="s">
        <v>169</v>
      </c>
      <c r="B1" s="6"/>
      <c r="C1" s="6"/>
      <c r="D1" s="6"/>
      <c r="E1" s="6"/>
      <c r="F1" s="6"/>
      <c r="G1" s="6"/>
      <c r="H1" s="6"/>
      <c r="I1" s="6"/>
      <c r="J1" s="6"/>
      <c r="K1" s="6"/>
      <c r="L1" s="6"/>
      <c r="M1" s="6" t="s">
        <v>2</v>
      </c>
      <c r="N1" s="6"/>
      <c r="O1" s="6"/>
      <c r="P1" s="6"/>
      <c r="Q1" s="6"/>
      <c r="R1" s="6"/>
      <c r="S1" s="83"/>
      <c r="T1" s="78"/>
    </row>
    <row r="2" spans="1:20" s="1" customFormat="true" ht="10.95" customHeight="true">
      <c r="A2" s="7" t="s">
        <v>3</v>
      </c>
      <c r="B2" s="7" t="s">
        <v>4</v>
      </c>
      <c r="C2" s="7" t="s">
        <v>5</v>
      </c>
      <c r="D2" s="7" t="s">
        <v>6</v>
      </c>
      <c r="E2" s="7" t="s">
        <v>7</v>
      </c>
      <c r="F2" s="7" t="s">
        <v>8</v>
      </c>
      <c r="G2" s="8" t="s">
        <v>9</v>
      </c>
      <c r="H2" s="9"/>
      <c r="I2" s="7" t="s">
        <v>10</v>
      </c>
      <c r="J2" s="7" t="s">
        <v>11</v>
      </c>
      <c r="K2" s="52" t="s">
        <v>12</v>
      </c>
      <c r="L2" s="9"/>
      <c r="M2" s="7" t="s">
        <v>11</v>
      </c>
      <c r="N2" s="52" t="s">
        <v>161</v>
      </c>
      <c r="O2" s="52"/>
      <c r="P2" s="9"/>
      <c r="Q2" s="9" t="s">
        <v>14</v>
      </c>
      <c r="R2" s="9" t="s">
        <v>15</v>
      </c>
      <c r="S2" s="83"/>
      <c r="T2" s="78"/>
    </row>
    <row r="3" spans="1:20" s="1" customFormat="true" ht="16.05" customHeight="true">
      <c r="A3" s="10"/>
      <c r="B3" s="10"/>
      <c r="C3" s="10"/>
      <c r="D3" s="10"/>
      <c r="E3" s="10"/>
      <c r="F3" s="10"/>
      <c r="G3" s="11"/>
      <c r="H3" s="12"/>
      <c r="I3" s="10"/>
      <c r="J3" s="10"/>
      <c r="K3" s="53"/>
      <c r="L3" s="15"/>
      <c r="M3" s="10"/>
      <c r="N3" s="53"/>
      <c r="O3" s="53"/>
      <c r="P3" s="15"/>
      <c r="Q3" s="15"/>
      <c r="R3" s="15"/>
      <c r="S3" s="83"/>
      <c r="T3" s="78"/>
    </row>
    <row r="4" spans="1:20" s="1" customFormat="true" ht="28.95" customHeight="true">
      <c r="A4" s="13"/>
      <c r="B4" s="13"/>
      <c r="C4" s="13"/>
      <c r="D4" s="13"/>
      <c r="E4" s="13"/>
      <c r="F4" s="13"/>
      <c r="G4" s="14"/>
      <c r="H4" s="15"/>
      <c r="I4" s="13"/>
      <c r="J4" s="13"/>
      <c r="K4" s="54" t="s">
        <v>16</v>
      </c>
      <c r="L4" s="55" t="s">
        <v>17</v>
      </c>
      <c r="M4" s="13"/>
      <c r="N4" s="55" t="s">
        <v>18</v>
      </c>
      <c r="O4" s="55" t="s">
        <v>19</v>
      </c>
      <c r="P4" s="55" t="s">
        <v>20</v>
      </c>
      <c r="Q4" s="55" t="s">
        <v>21</v>
      </c>
      <c r="R4" s="55" t="s">
        <v>22</v>
      </c>
      <c r="S4" s="83"/>
      <c r="T4" s="78"/>
    </row>
    <row r="5" spans="1:20" s="2" customFormat="true" customHeight="true">
      <c r="A5" s="16">
        <v>1</v>
      </c>
      <c r="B5" s="17" t="str">
        <f>=DISPIMG("ID_5B3270D0598E43169D81B67B5D318EC0",1)</f>
        <v>=DISPIMG("ID_5B3270D0598E43169D81B67B5D318EC0",1)</v>
      </c>
      <c r="C5" s="18" t="s">
        <v>170</v>
      </c>
      <c r="D5" s="18" t="s">
        <v>171</v>
      </c>
      <c r="E5" s="19"/>
      <c r="F5" s="19"/>
      <c r="G5" s="20" t="s">
        <v>148</v>
      </c>
      <c r="H5" s="21" t="str">
        <f>=DISPIMG("ID_8931EF2886AC4D2B9B77270DD4E93DFA",1)</f>
        <v>=DISPIMG("ID_8931EF2886AC4D2B9B77270DD4E93DFA",1)</v>
      </c>
      <c r="I5" s="56">
        <v>15.92</v>
      </c>
      <c r="J5" s="57" t="s">
        <v>26</v>
      </c>
      <c r="K5" s="23">
        <v>10</v>
      </c>
      <c r="L5" s="58">
        <f>I5*K5</f>
        <v>159.2</v>
      </c>
      <c r="M5" s="57" t="s">
        <v>26</v>
      </c>
      <c r="N5" s="23">
        <v>0</v>
      </c>
      <c r="O5" s="23">
        <v>11</v>
      </c>
      <c r="P5" s="23">
        <f t="shared" ref="P5:P10" si="0">MAX(0,K5-O5)</f>
        <v>0</v>
      </c>
      <c r="Q5" s="23">
        <v>1</v>
      </c>
      <c r="R5" s="23"/>
      <c r="T5" s="79"/>
    </row>
    <row r="6" spans="1:20" s="2" customFormat="true">
      <c r="A6" s="16"/>
      <c r="B6" s="16"/>
      <c r="C6" s="22"/>
      <c r="D6" s="22"/>
      <c r="E6" s="23"/>
      <c r="F6" s="23"/>
      <c r="G6" s="20"/>
      <c r="H6" s="21"/>
      <c r="I6" s="59"/>
      <c r="J6" s="57" t="s">
        <v>27</v>
      </c>
      <c r="K6" s="23">
        <v>70</v>
      </c>
      <c r="L6" s="58">
        <f>I5*K6</f>
        <v>1114.4</v>
      </c>
      <c r="M6" s="57" t="s">
        <v>27</v>
      </c>
      <c r="N6" s="23">
        <v>0</v>
      </c>
      <c r="O6" s="23">
        <v>41</v>
      </c>
      <c r="P6" s="23">
        <f t="shared" si="0"/>
        <v>29</v>
      </c>
      <c r="Q6" s="23">
        <v>7</v>
      </c>
      <c r="R6" s="23"/>
      <c r="T6" s="79"/>
    </row>
    <row r="7" spans="1:20" s="2" customFormat="true">
      <c r="A7" s="16"/>
      <c r="B7" s="16"/>
      <c r="C7" s="22"/>
      <c r="D7" s="22"/>
      <c r="E7" s="23"/>
      <c r="F7" s="23"/>
      <c r="G7" s="20"/>
      <c r="H7" s="21"/>
      <c r="I7" s="59"/>
      <c r="J7" s="57" t="s">
        <v>28</v>
      </c>
      <c r="K7" s="23">
        <v>130</v>
      </c>
      <c r="L7" s="58">
        <f>I5*K7</f>
        <v>2069.6</v>
      </c>
      <c r="M7" s="57" t="s">
        <v>28</v>
      </c>
      <c r="N7" s="23">
        <v>0</v>
      </c>
      <c r="O7" s="23">
        <v>74</v>
      </c>
      <c r="P7" s="23">
        <f t="shared" si="0"/>
        <v>56</v>
      </c>
      <c r="Q7" s="23">
        <v>19</v>
      </c>
      <c r="R7" s="23"/>
      <c r="T7" s="79"/>
    </row>
    <row r="8" spans="1:20" s="2" customFormat="true">
      <c r="A8" s="16"/>
      <c r="B8" s="16"/>
      <c r="C8" s="22"/>
      <c r="D8" s="22"/>
      <c r="E8" s="23"/>
      <c r="F8" s="23"/>
      <c r="G8" s="20"/>
      <c r="H8" s="21"/>
      <c r="I8" s="59"/>
      <c r="J8" s="57" t="s">
        <v>29</v>
      </c>
      <c r="K8" s="23">
        <v>120</v>
      </c>
      <c r="L8" s="58">
        <f>I5*K8</f>
        <v>1910.4</v>
      </c>
      <c r="M8" s="57" t="s">
        <v>29</v>
      </c>
      <c r="N8" s="23">
        <v>0</v>
      </c>
      <c r="O8" s="23">
        <v>73</v>
      </c>
      <c r="P8" s="23">
        <f t="shared" si="0"/>
        <v>47</v>
      </c>
      <c r="Q8" s="23">
        <v>15</v>
      </c>
      <c r="R8" s="23"/>
      <c r="T8" s="79"/>
    </row>
    <row r="9" spans="1:20" s="2" customFormat="true">
      <c r="A9" s="16"/>
      <c r="B9" s="16"/>
      <c r="C9" s="22"/>
      <c r="D9" s="22"/>
      <c r="E9" s="23"/>
      <c r="F9" s="23"/>
      <c r="G9" s="20"/>
      <c r="H9" s="21"/>
      <c r="I9" s="59"/>
      <c r="J9" s="57" t="s">
        <v>30</v>
      </c>
      <c r="K9" s="23">
        <v>96</v>
      </c>
      <c r="L9" s="58">
        <f>I5*K9</f>
        <v>1528.32</v>
      </c>
      <c r="M9" s="57" t="s">
        <v>30</v>
      </c>
      <c r="N9" s="23">
        <v>0</v>
      </c>
      <c r="O9" s="23">
        <v>84</v>
      </c>
      <c r="P9" s="23">
        <f t="shared" si="0"/>
        <v>12</v>
      </c>
      <c r="Q9" s="23">
        <v>16</v>
      </c>
      <c r="R9" s="23"/>
      <c r="T9" s="79"/>
    </row>
    <row r="10" spans="1:20" s="2" customFormat="true">
      <c r="A10" s="16"/>
      <c r="B10" s="16"/>
      <c r="C10" s="22"/>
      <c r="D10" s="22"/>
      <c r="E10" s="23"/>
      <c r="F10" s="23"/>
      <c r="G10" s="20"/>
      <c r="H10" s="21"/>
      <c r="I10" s="60"/>
      <c r="J10" s="23" t="s">
        <v>31</v>
      </c>
      <c r="K10" s="23">
        <v>61</v>
      </c>
      <c r="L10" s="58">
        <f>I5*K10</f>
        <v>971.12</v>
      </c>
      <c r="M10" s="23" t="s">
        <v>31</v>
      </c>
      <c r="N10" s="23">
        <v>0</v>
      </c>
      <c r="O10" s="23">
        <v>61</v>
      </c>
      <c r="P10" s="23">
        <f t="shared" si="0"/>
        <v>0</v>
      </c>
      <c r="Q10" s="23">
        <v>11</v>
      </c>
      <c r="R10" s="23"/>
      <c r="T10" s="79"/>
    </row>
    <row r="11" spans="1:20" s="2" customFormat="true">
      <c r="A11" s="24"/>
      <c r="B11" s="24"/>
      <c r="C11" s="25"/>
      <c r="D11" s="25"/>
      <c r="E11" s="23"/>
      <c r="F11" s="23"/>
      <c r="G11" s="26"/>
      <c r="H11" s="27"/>
      <c r="J11" s="61" t="s">
        <v>32</v>
      </c>
      <c r="K11" s="62">
        <f t="shared" ref="K11:N11" si="1">SUM(K5:K10)</f>
        <v>487</v>
      </c>
      <c r="L11" s="63">
        <f t="shared" si="1"/>
        <v>7753.04</v>
      </c>
      <c r="M11" s="61" t="s">
        <v>32</v>
      </c>
      <c r="N11" s="62">
        <f t="shared" si="1"/>
        <v>0</v>
      </c>
      <c r="O11" s="64" cm="1">
        <f t="array" ref="O11">SUMPRODUCT(--(O5:O10))</f>
        <v>344</v>
      </c>
      <c r="P11" s="64" cm="1">
        <f t="array" ref="P11">SUMPRODUCT(--(P5:P10))</f>
        <v>144</v>
      </c>
      <c r="Q11" s="64">
        <f>SUM(Q5:Q10)</f>
        <v>69</v>
      </c>
      <c r="R11" s="64">
        <f>SUM(R5:R10)</f>
        <v>0</v>
      </c>
      <c r="T11" s="79"/>
    </row>
    <row r="12" spans="1:20" s="2" customFormat="true" ht="17.4" customHeight="true">
      <c r="A12" s="28"/>
      <c r="B12" s="29"/>
      <c r="C12" s="29"/>
      <c r="D12" s="29"/>
      <c r="E12" s="29"/>
      <c r="F12" s="29"/>
      <c r="G12" s="29"/>
      <c r="H12" s="29"/>
      <c r="I12" s="29"/>
      <c r="J12" s="29"/>
      <c r="K12" s="29"/>
      <c r="L12" s="29"/>
      <c r="M12" s="29"/>
      <c r="N12" s="29"/>
      <c r="O12" s="29"/>
      <c r="P12" s="29"/>
      <c r="Q12" s="29"/>
      <c r="R12" s="29"/>
      <c r="T12" s="79"/>
    </row>
    <row r="13" spans="1:21" s="1" customFormat="true" ht="10.95" customHeight="true">
      <c r="A13" s="7" t="s">
        <v>3</v>
      </c>
      <c r="B13" s="30" t="s">
        <v>4</v>
      </c>
      <c r="C13" s="7" t="s">
        <v>5</v>
      </c>
      <c r="D13" s="30" t="s">
        <v>6</v>
      </c>
      <c r="E13" s="30" t="s">
        <v>7</v>
      </c>
      <c r="F13" s="30" t="s">
        <v>8</v>
      </c>
      <c r="G13" s="30" t="s">
        <v>9</v>
      </c>
      <c r="H13" s="30"/>
      <c r="I13" s="7" t="s">
        <v>10</v>
      </c>
      <c r="J13" s="7" t="s">
        <v>11</v>
      </c>
      <c r="K13" s="8" t="s">
        <v>12</v>
      </c>
      <c r="L13" s="9"/>
      <c r="M13" s="7" t="s">
        <v>11</v>
      </c>
      <c r="N13" s="52" t="s">
        <v>161</v>
      </c>
      <c r="O13" s="52"/>
      <c r="P13" s="9"/>
      <c r="Q13" s="9" t="s">
        <v>14</v>
      </c>
      <c r="R13" s="9" t="s">
        <v>15</v>
      </c>
      <c r="S13" s="83"/>
      <c r="T13" s="78"/>
      <c r="U13" s="2"/>
    </row>
    <row r="14" spans="1:20" s="1" customFormat="true" ht="16.05" customHeight="true">
      <c r="A14" s="10"/>
      <c r="B14" s="30"/>
      <c r="C14" s="10"/>
      <c r="D14" s="30"/>
      <c r="E14" s="30"/>
      <c r="F14" s="30"/>
      <c r="G14" s="30"/>
      <c r="H14" s="30"/>
      <c r="I14" s="10"/>
      <c r="J14" s="10"/>
      <c r="K14" s="14"/>
      <c r="L14" s="15"/>
      <c r="M14" s="10"/>
      <c r="N14" s="53"/>
      <c r="O14" s="53"/>
      <c r="P14" s="15"/>
      <c r="Q14" s="15"/>
      <c r="R14" s="15"/>
      <c r="S14" s="83"/>
      <c r="T14" s="78"/>
    </row>
    <row r="15" spans="1:20" s="1" customFormat="true" ht="28.95" customHeight="true">
      <c r="A15" s="13"/>
      <c r="B15" s="30"/>
      <c r="C15" s="13"/>
      <c r="D15" s="30"/>
      <c r="E15" s="30"/>
      <c r="F15" s="30"/>
      <c r="G15" s="30"/>
      <c r="H15" s="30"/>
      <c r="I15" s="13"/>
      <c r="J15" s="13"/>
      <c r="K15" s="54" t="s">
        <v>16</v>
      </c>
      <c r="L15" s="55" t="s">
        <v>17</v>
      </c>
      <c r="M15" s="13"/>
      <c r="N15" s="55" t="s">
        <v>18</v>
      </c>
      <c r="O15" s="55" t="s">
        <v>19</v>
      </c>
      <c r="P15" s="55" t="s">
        <v>20</v>
      </c>
      <c r="Q15" s="55" t="s">
        <v>21</v>
      </c>
      <c r="R15" s="55" t="s">
        <v>22</v>
      </c>
      <c r="S15" s="83"/>
      <c r="T15" s="78"/>
    </row>
    <row r="16" spans="1:20" s="2" customFormat="true" ht="13.95" customHeight="true">
      <c r="A16" s="16">
        <v>2</v>
      </c>
      <c r="B16" s="17" t="str">
        <f>=DISPIMG("ID_E20FFD25DC1A45CA8C7801AFA9907B68",1)</f>
        <v>=DISPIMG("ID_E20FFD25DC1A45CA8C7801AFA9907B68",1)</v>
      </c>
      <c r="C16" s="18" t="s">
        <v>172</v>
      </c>
      <c r="D16" s="18" t="s">
        <v>171</v>
      </c>
      <c r="E16" s="19"/>
      <c r="F16" s="19"/>
      <c r="G16" s="20" t="s">
        <v>150</v>
      </c>
      <c r="H16" s="21" t="str">
        <f>=DISPIMG("ID_D5F50DE3E3FC49929A0D8AAA17B7A670",1)</f>
        <v>=DISPIMG("ID_D5F50DE3E3FC49929A0D8AAA17B7A670",1)</v>
      </c>
      <c r="I16" s="56">
        <v>15.92</v>
      </c>
      <c r="J16" s="57" t="s">
        <v>26</v>
      </c>
      <c r="K16" s="23">
        <v>60</v>
      </c>
      <c r="L16" s="58">
        <f>I16*K16</f>
        <v>955.2</v>
      </c>
      <c r="M16" s="57" t="s">
        <v>26</v>
      </c>
      <c r="N16" s="23">
        <v>0</v>
      </c>
      <c r="O16" s="23">
        <v>4</v>
      </c>
      <c r="P16" s="23">
        <f t="shared" ref="P16:P21" si="2">MAX(0,K16-O16)</f>
        <v>56</v>
      </c>
      <c r="Q16" s="23">
        <v>0</v>
      </c>
      <c r="R16" s="23"/>
      <c r="T16" s="79"/>
    </row>
    <row r="17" spans="1:20" s="2" customFormat="true">
      <c r="A17" s="16"/>
      <c r="B17" s="16"/>
      <c r="C17" s="22"/>
      <c r="D17" s="22"/>
      <c r="E17" s="23"/>
      <c r="F17" s="23"/>
      <c r="G17" s="20"/>
      <c r="H17" s="21"/>
      <c r="I17" s="59"/>
      <c r="J17" s="57" t="s">
        <v>27</v>
      </c>
      <c r="K17" s="23">
        <v>70</v>
      </c>
      <c r="L17" s="58">
        <f>I16*K17</f>
        <v>1114.4</v>
      </c>
      <c r="M17" s="57" t="s">
        <v>27</v>
      </c>
      <c r="N17" s="23">
        <v>0</v>
      </c>
      <c r="O17" s="23">
        <v>6</v>
      </c>
      <c r="P17" s="23">
        <f t="shared" si="2"/>
        <v>64</v>
      </c>
      <c r="Q17" s="23">
        <v>1</v>
      </c>
      <c r="R17" s="23"/>
      <c r="T17" s="79"/>
    </row>
    <row r="18" spans="1:20" s="2" customFormat="true">
      <c r="A18" s="16"/>
      <c r="B18" s="16"/>
      <c r="C18" s="22"/>
      <c r="D18" s="22"/>
      <c r="E18" s="23"/>
      <c r="F18" s="23"/>
      <c r="G18" s="20"/>
      <c r="H18" s="21"/>
      <c r="I18" s="59"/>
      <c r="J18" s="57" t="s">
        <v>28</v>
      </c>
      <c r="K18" s="23">
        <v>129</v>
      </c>
      <c r="L18" s="58">
        <f>I16*K18</f>
        <v>2053.68</v>
      </c>
      <c r="M18" s="57" t="s">
        <v>28</v>
      </c>
      <c r="N18" s="23">
        <v>0</v>
      </c>
      <c r="O18" s="23">
        <v>29</v>
      </c>
      <c r="P18" s="23">
        <f t="shared" si="2"/>
        <v>100</v>
      </c>
      <c r="Q18" s="23">
        <v>3</v>
      </c>
      <c r="R18" s="23"/>
      <c r="T18" s="79"/>
    </row>
    <row r="19" spans="1:20" s="2" customFormat="true">
      <c r="A19" s="16"/>
      <c r="B19" s="16"/>
      <c r="C19" s="22"/>
      <c r="D19" s="22"/>
      <c r="E19" s="23"/>
      <c r="F19" s="23"/>
      <c r="G19" s="20"/>
      <c r="H19" s="21"/>
      <c r="I19" s="59"/>
      <c r="J19" s="57" t="s">
        <v>29</v>
      </c>
      <c r="K19" s="23">
        <v>96</v>
      </c>
      <c r="L19" s="58">
        <f>I16*K19</f>
        <v>1528.32</v>
      </c>
      <c r="M19" s="57" t="s">
        <v>29</v>
      </c>
      <c r="N19" s="23">
        <v>0</v>
      </c>
      <c r="O19" s="23">
        <v>26</v>
      </c>
      <c r="P19" s="23">
        <f t="shared" si="2"/>
        <v>70</v>
      </c>
      <c r="Q19" s="23">
        <v>5</v>
      </c>
      <c r="R19" s="23"/>
      <c r="T19" s="79"/>
    </row>
    <row r="20" spans="1:20" s="2" customFormat="true">
      <c r="A20" s="16"/>
      <c r="B20" s="16"/>
      <c r="C20" s="22"/>
      <c r="D20" s="22"/>
      <c r="E20" s="23"/>
      <c r="F20" s="23"/>
      <c r="G20" s="20"/>
      <c r="H20" s="21"/>
      <c r="I20" s="59"/>
      <c r="J20" s="57" t="s">
        <v>30</v>
      </c>
      <c r="K20" s="23">
        <v>90</v>
      </c>
      <c r="L20" s="58">
        <f>I16*K20</f>
        <v>1432.8</v>
      </c>
      <c r="M20" s="57" t="s">
        <v>30</v>
      </c>
      <c r="N20" s="23">
        <v>0</v>
      </c>
      <c r="O20" s="23">
        <v>19</v>
      </c>
      <c r="P20" s="23">
        <f t="shared" si="2"/>
        <v>71</v>
      </c>
      <c r="Q20" s="23">
        <v>3</v>
      </c>
      <c r="R20" s="23"/>
      <c r="T20" s="79"/>
    </row>
    <row r="21" spans="1:20" s="2" customFormat="true">
      <c r="A21" s="16"/>
      <c r="B21" s="16"/>
      <c r="C21" s="22"/>
      <c r="D21" s="22"/>
      <c r="E21" s="23"/>
      <c r="F21" s="23"/>
      <c r="G21" s="20"/>
      <c r="H21" s="21"/>
      <c r="I21" s="60"/>
      <c r="J21" s="23" t="s">
        <v>31</v>
      </c>
      <c r="K21" s="23">
        <v>61</v>
      </c>
      <c r="L21" s="58">
        <f>I16*K21</f>
        <v>971.12</v>
      </c>
      <c r="M21" s="23" t="s">
        <v>31</v>
      </c>
      <c r="N21" s="23">
        <v>0</v>
      </c>
      <c r="O21" s="23">
        <v>11</v>
      </c>
      <c r="P21" s="23">
        <f t="shared" si="2"/>
        <v>50</v>
      </c>
      <c r="Q21" s="23">
        <v>3</v>
      </c>
      <c r="R21" s="23"/>
      <c r="T21" s="79"/>
    </row>
    <row r="22" spans="1:20" s="2" customFormat="true">
      <c r="A22" s="24"/>
      <c r="B22" s="24"/>
      <c r="C22" s="25"/>
      <c r="D22" s="25"/>
      <c r="E22" s="23"/>
      <c r="F22" s="23"/>
      <c r="G22" s="26"/>
      <c r="H22" s="27"/>
      <c r="I22" s="62"/>
      <c r="J22" s="61" t="s">
        <v>32</v>
      </c>
      <c r="K22" s="62">
        <f t="shared" ref="K22:N22" si="3">SUM(K16:K21)</f>
        <v>506</v>
      </c>
      <c r="L22" s="63">
        <f t="shared" si="3"/>
        <v>8055.52</v>
      </c>
      <c r="M22" s="61" t="s">
        <v>32</v>
      </c>
      <c r="N22" s="62">
        <f t="shared" si="3"/>
        <v>0</v>
      </c>
      <c r="O22" s="64" cm="1">
        <f t="array" ref="O22">SUMPRODUCT(--(O16:O21))</f>
        <v>95</v>
      </c>
      <c r="P22" s="64" cm="1">
        <f t="array" ref="P22">SUMPRODUCT(--(P16:P21))</f>
        <v>411</v>
      </c>
      <c r="Q22" s="64">
        <f>SUM(Q16:Q21)</f>
        <v>15</v>
      </c>
      <c r="R22" s="64">
        <f>SUM(R16:R21)</f>
        <v>0</v>
      </c>
      <c r="T22" s="79"/>
    </row>
    <row r="23" spans="1:20" s="2" customFormat="true" ht="17.4" customHeight="true">
      <c r="A23" s="28"/>
      <c r="B23" s="29"/>
      <c r="C23" s="29"/>
      <c r="D23" s="29"/>
      <c r="E23" s="29"/>
      <c r="F23" s="29"/>
      <c r="G23" s="29"/>
      <c r="H23" s="29"/>
      <c r="I23" s="29"/>
      <c r="J23" s="29"/>
      <c r="K23" s="29"/>
      <c r="L23" s="29"/>
      <c r="M23" s="29"/>
      <c r="N23" s="29"/>
      <c r="O23" s="29"/>
      <c r="P23" s="29"/>
      <c r="Q23" s="65"/>
      <c r="R23" s="65"/>
      <c r="T23" s="79"/>
    </row>
    <row r="24" spans="1:20" s="1" customFormat="true" ht="10.95" customHeight="true">
      <c r="A24" s="7" t="s">
        <v>3</v>
      </c>
      <c r="B24" s="30" t="s">
        <v>4</v>
      </c>
      <c r="C24" s="7" t="s">
        <v>5</v>
      </c>
      <c r="D24" s="30" t="s">
        <v>6</v>
      </c>
      <c r="E24" s="30" t="s">
        <v>7</v>
      </c>
      <c r="F24" s="30" t="s">
        <v>8</v>
      </c>
      <c r="G24" s="30" t="s">
        <v>9</v>
      </c>
      <c r="H24" s="30"/>
      <c r="I24" s="7" t="s">
        <v>10</v>
      </c>
      <c r="J24" s="7" t="s">
        <v>11</v>
      </c>
      <c r="K24" s="8" t="s">
        <v>12</v>
      </c>
      <c r="L24" s="9"/>
      <c r="M24" s="7" t="s">
        <v>11</v>
      </c>
      <c r="N24" s="52" t="s">
        <v>161</v>
      </c>
      <c r="O24" s="52"/>
      <c r="P24" s="9"/>
      <c r="Q24" s="9" t="s">
        <v>14</v>
      </c>
      <c r="R24" s="9" t="s">
        <v>15</v>
      </c>
      <c r="S24" s="83"/>
      <c r="T24" s="78"/>
    </row>
    <row r="25" spans="1:20" s="1" customFormat="true" ht="16.05" customHeight="true">
      <c r="A25" s="10"/>
      <c r="B25" s="30"/>
      <c r="C25" s="10"/>
      <c r="D25" s="30"/>
      <c r="E25" s="30"/>
      <c r="F25" s="30"/>
      <c r="G25" s="30"/>
      <c r="H25" s="30"/>
      <c r="I25" s="10"/>
      <c r="J25" s="10"/>
      <c r="K25" s="14"/>
      <c r="L25" s="15"/>
      <c r="M25" s="10"/>
      <c r="N25" s="53"/>
      <c r="O25" s="53"/>
      <c r="P25" s="15"/>
      <c r="Q25" s="15"/>
      <c r="R25" s="15"/>
      <c r="S25" s="83"/>
      <c r="T25" s="78"/>
    </row>
    <row r="26" spans="1:20" s="1" customFormat="true" ht="28.95" customHeight="true">
      <c r="A26" s="13"/>
      <c r="B26" s="30"/>
      <c r="C26" s="13"/>
      <c r="D26" s="30"/>
      <c r="E26" s="30"/>
      <c r="F26" s="30"/>
      <c r="G26" s="30"/>
      <c r="H26" s="30"/>
      <c r="I26" s="13"/>
      <c r="J26" s="13"/>
      <c r="K26" s="54" t="s">
        <v>16</v>
      </c>
      <c r="L26" s="55" t="s">
        <v>17</v>
      </c>
      <c r="M26" s="13"/>
      <c r="N26" s="55" t="s">
        <v>18</v>
      </c>
      <c r="O26" s="55" t="s">
        <v>19</v>
      </c>
      <c r="P26" s="55" t="s">
        <v>20</v>
      </c>
      <c r="Q26" s="55" t="s">
        <v>21</v>
      </c>
      <c r="R26" s="55" t="s">
        <v>22</v>
      </c>
      <c r="S26" s="83"/>
      <c r="T26" s="78"/>
    </row>
    <row r="27" spans="1:20" s="2" customFormat="true" ht="13.95" customHeight="true">
      <c r="A27" s="16">
        <v>3</v>
      </c>
      <c r="B27" s="17" t="str">
        <f>=DISPIMG("ID_4042FB64602E4283B342DCD2DD1351EC",1)</f>
        <v>=DISPIMG("ID_4042FB64602E4283B342DCD2DD1351EC",1)</v>
      </c>
      <c r="C27" s="18" t="s">
        <v>173</v>
      </c>
      <c r="D27" s="18" t="s">
        <v>171</v>
      </c>
      <c r="E27" s="19"/>
      <c r="F27" s="19"/>
      <c r="G27" s="20" t="s">
        <v>34</v>
      </c>
      <c r="H27" s="21" t="str">
        <f>=DISPIMG("ID_154F0C5860F84993BFC6A2CE57C40C05",1)</f>
        <v>=DISPIMG("ID_154F0C5860F84993BFC6A2CE57C40C05",1)</v>
      </c>
      <c r="I27" s="56">
        <v>15.92</v>
      </c>
      <c r="J27" s="57" t="s">
        <v>26</v>
      </c>
      <c r="K27" s="23">
        <v>119</v>
      </c>
      <c r="L27" s="58">
        <f>I27*K27</f>
        <v>1894.48</v>
      </c>
      <c r="M27" s="57" t="s">
        <v>26</v>
      </c>
      <c r="N27" s="23">
        <v>0</v>
      </c>
      <c r="O27" s="23">
        <v>10</v>
      </c>
      <c r="P27" s="23">
        <f t="shared" ref="P27:P32" si="4">MAX(0,K27-O27)</f>
        <v>109</v>
      </c>
      <c r="Q27" s="23">
        <v>1</v>
      </c>
      <c r="R27" s="23"/>
      <c r="T27" s="79"/>
    </row>
    <row r="28" spans="1:20" s="2" customFormat="true">
      <c r="A28" s="16"/>
      <c r="B28" s="16"/>
      <c r="C28" s="22"/>
      <c r="D28" s="22"/>
      <c r="E28" s="23"/>
      <c r="F28" s="23"/>
      <c r="G28" s="20"/>
      <c r="H28" s="21"/>
      <c r="I28" s="59"/>
      <c r="J28" s="57" t="s">
        <v>27</v>
      </c>
      <c r="K28" s="23">
        <v>138</v>
      </c>
      <c r="L28" s="58">
        <f>I27*K28</f>
        <v>2196.96</v>
      </c>
      <c r="M28" s="57" t="s">
        <v>27</v>
      </c>
      <c r="N28" s="23">
        <v>0</v>
      </c>
      <c r="O28" s="23">
        <v>26</v>
      </c>
      <c r="P28" s="23">
        <f t="shared" si="4"/>
        <v>112</v>
      </c>
      <c r="Q28" s="23">
        <v>5</v>
      </c>
      <c r="R28" s="23"/>
      <c r="T28" s="79"/>
    </row>
    <row r="29" spans="1:20" s="2" customFormat="true">
      <c r="A29" s="16"/>
      <c r="B29" s="16"/>
      <c r="C29" s="22"/>
      <c r="D29" s="22"/>
      <c r="E29" s="23"/>
      <c r="F29" s="23"/>
      <c r="G29" s="20"/>
      <c r="H29" s="21"/>
      <c r="I29" s="59"/>
      <c r="J29" s="57" t="s">
        <v>28</v>
      </c>
      <c r="K29" s="23">
        <v>235</v>
      </c>
      <c r="L29" s="58">
        <f>I27*K29</f>
        <v>3741.2</v>
      </c>
      <c r="M29" s="57" t="s">
        <v>28</v>
      </c>
      <c r="N29" s="23">
        <v>0</v>
      </c>
      <c r="O29" s="23">
        <v>57</v>
      </c>
      <c r="P29" s="23">
        <f t="shared" si="4"/>
        <v>178</v>
      </c>
      <c r="Q29" s="23">
        <v>7</v>
      </c>
      <c r="R29" s="23"/>
      <c r="T29" s="79"/>
    </row>
    <row r="30" spans="1:20" s="2" customFormat="true">
      <c r="A30" s="16"/>
      <c r="B30" s="16"/>
      <c r="C30" s="22"/>
      <c r="D30" s="22"/>
      <c r="E30" s="23"/>
      <c r="F30" s="23"/>
      <c r="G30" s="20"/>
      <c r="H30" s="21"/>
      <c r="I30" s="59"/>
      <c r="J30" s="57" t="s">
        <v>29</v>
      </c>
      <c r="K30" s="23">
        <v>141</v>
      </c>
      <c r="L30" s="58">
        <f>I27*K30</f>
        <v>2244.72</v>
      </c>
      <c r="M30" s="57" t="s">
        <v>29</v>
      </c>
      <c r="N30" s="23">
        <v>0</v>
      </c>
      <c r="O30" s="23">
        <v>74</v>
      </c>
      <c r="P30" s="23">
        <f t="shared" si="4"/>
        <v>67</v>
      </c>
      <c r="Q30" s="23">
        <v>21</v>
      </c>
      <c r="R30" s="23"/>
      <c r="T30" s="79"/>
    </row>
    <row r="31" spans="1:20" s="2" customFormat="true">
      <c r="A31" s="16"/>
      <c r="B31" s="16"/>
      <c r="C31" s="22"/>
      <c r="D31" s="22"/>
      <c r="E31" s="23"/>
      <c r="F31" s="23"/>
      <c r="G31" s="20"/>
      <c r="H31" s="21"/>
      <c r="I31" s="59"/>
      <c r="J31" s="57" t="s">
        <v>30</v>
      </c>
      <c r="K31" s="23">
        <v>207</v>
      </c>
      <c r="L31" s="58">
        <f>I27*K31</f>
        <v>3295.44</v>
      </c>
      <c r="M31" s="57" t="s">
        <v>30</v>
      </c>
      <c r="N31" s="23">
        <v>0</v>
      </c>
      <c r="O31" s="23">
        <v>78</v>
      </c>
      <c r="P31" s="23">
        <f t="shared" si="4"/>
        <v>129</v>
      </c>
      <c r="Q31" s="23">
        <v>13</v>
      </c>
      <c r="R31" s="23"/>
      <c r="T31" s="79"/>
    </row>
    <row r="32" spans="1:20" s="2" customFormat="true">
      <c r="A32" s="16"/>
      <c r="B32" s="16"/>
      <c r="C32" s="22"/>
      <c r="D32" s="22"/>
      <c r="E32" s="23"/>
      <c r="F32" s="23"/>
      <c r="G32" s="20"/>
      <c r="H32" s="21"/>
      <c r="I32" s="60"/>
      <c r="J32" s="23" t="s">
        <v>31</v>
      </c>
      <c r="K32" s="23">
        <v>119</v>
      </c>
      <c r="L32" s="58">
        <f>I27*K32</f>
        <v>1894.48</v>
      </c>
      <c r="M32" s="23" t="s">
        <v>31</v>
      </c>
      <c r="N32" s="23">
        <v>1</v>
      </c>
      <c r="O32" s="23">
        <v>50</v>
      </c>
      <c r="P32" s="23">
        <f t="shared" si="4"/>
        <v>69</v>
      </c>
      <c r="Q32" s="23">
        <v>10</v>
      </c>
      <c r="R32" s="23"/>
      <c r="T32" s="79"/>
    </row>
    <row r="33" spans="1:20" s="2" customFormat="true">
      <c r="A33" s="24"/>
      <c r="B33" s="24"/>
      <c r="C33" s="25"/>
      <c r="D33" s="25"/>
      <c r="E33" s="23"/>
      <c r="F33" s="23"/>
      <c r="G33" s="26"/>
      <c r="H33" s="27"/>
      <c r="I33" s="62"/>
      <c r="J33" s="61" t="s">
        <v>32</v>
      </c>
      <c r="K33" s="62">
        <f t="shared" ref="K33:N33" si="5">SUM(K27:K32)</f>
        <v>959</v>
      </c>
      <c r="L33" s="63">
        <f t="shared" si="5"/>
        <v>15267.28</v>
      </c>
      <c r="M33" s="61" t="s">
        <v>32</v>
      </c>
      <c r="N33" s="62">
        <f t="shared" si="5"/>
        <v>1</v>
      </c>
      <c r="O33" s="64" cm="1">
        <f t="array" ref="O33">SUMPRODUCT(--(O27:O32))</f>
        <v>295</v>
      </c>
      <c r="P33" s="64" cm="1">
        <f t="array" ref="P33">SUMPRODUCT(--(P27:P32))</f>
        <v>664</v>
      </c>
      <c r="Q33" s="64">
        <f>SUM(Q27:Q32)</f>
        <v>57</v>
      </c>
      <c r="R33" s="64">
        <f>SUM(R27:R32)</f>
        <v>0</v>
      </c>
      <c r="T33" s="79"/>
    </row>
    <row r="34" spans="1:20" s="2" customFormat="true" ht="17.4" customHeight="true">
      <c r="A34" s="28"/>
      <c r="B34" s="29"/>
      <c r="C34" s="29"/>
      <c r="D34" s="29"/>
      <c r="E34" s="29"/>
      <c r="F34" s="29"/>
      <c r="G34" s="29"/>
      <c r="H34" s="29"/>
      <c r="I34" s="29"/>
      <c r="J34" s="29"/>
      <c r="K34" s="29"/>
      <c r="L34" s="29"/>
      <c r="M34" s="29"/>
      <c r="N34" s="29"/>
      <c r="O34" s="29"/>
      <c r="P34" s="29"/>
      <c r="Q34" s="29"/>
      <c r="R34" s="29"/>
      <c r="T34" s="79"/>
    </row>
    <row r="35" spans="1:20" s="1" customFormat="true" ht="10.95" customHeight="true">
      <c r="A35" s="7" t="s">
        <v>3</v>
      </c>
      <c r="B35" s="30" t="s">
        <v>4</v>
      </c>
      <c r="C35" s="7" t="s">
        <v>5</v>
      </c>
      <c r="D35" s="30" t="s">
        <v>6</v>
      </c>
      <c r="E35" s="30" t="s">
        <v>7</v>
      </c>
      <c r="F35" s="30" t="s">
        <v>8</v>
      </c>
      <c r="G35" s="30" t="s">
        <v>9</v>
      </c>
      <c r="H35" s="30"/>
      <c r="I35" s="7" t="s">
        <v>10</v>
      </c>
      <c r="J35" s="7" t="s">
        <v>11</v>
      </c>
      <c r="K35" s="8" t="s">
        <v>12</v>
      </c>
      <c r="L35" s="9"/>
      <c r="M35" s="7" t="s">
        <v>11</v>
      </c>
      <c r="N35" s="52" t="s">
        <v>161</v>
      </c>
      <c r="O35" s="52"/>
      <c r="P35" s="9"/>
      <c r="Q35" s="9" t="s">
        <v>14</v>
      </c>
      <c r="R35" s="9" t="s">
        <v>15</v>
      </c>
      <c r="S35" s="83"/>
      <c r="T35" s="78"/>
    </row>
    <row r="36" spans="1:20" s="1" customFormat="true" ht="16.05" customHeight="true">
      <c r="A36" s="10"/>
      <c r="B36" s="30"/>
      <c r="C36" s="10"/>
      <c r="D36" s="30"/>
      <c r="E36" s="30"/>
      <c r="F36" s="30"/>
      <c r="G36" s="30"/>
      <c r="H36" s="30"/>
      <c r="I36" s="10"/>
      <c r="J36" s="10"/>
      <c r="K36" s="14"/>
      <c r="L36" s="15"/>
      <c r="M36" s="10"/>
      <c r="N36" s="53"/>
      <c r="O36" s="53"/>
      <c r="P36" s="15"/>
      <c r="Q36" s="15"/>
      <c r="R36" s="15"/>
      <c r="S36" s="83"/>
      <c r="T36" s="78"/>
    </row>
    <row r="37" spans="1:20" s="1" customFormat="true" ht="28.95" customHeight="true">
      <c r="A37" s="13"/>
      <c r="B37" s="30"/>
      <c r="C37" s="13"/>
      <c r="D37" s="30"/>
      <c r="E37" s="30"/>
      <c r="F37" s="30"/>
      <c r="G37" s="30"/>
      <c r="H37" s="30"/>
      <c r="I37" s="13"/>
      <c r="J37" s="13"/>
      <c r="K37" s="54" t="s">
        <v>16</v>
      </c>
      <c r="L37" s="55" t="s">
        <v>17</v>
      </c>
      <c r="M37" s="13"/>
      <c r="N37" s="55" t="s">
        <v>18</v>
      </c>
      <c r="O37" s="55" t="s">
        <v>19</v>
      </c>
      <c r="P37" s="55" t="s">
        <v>20</v>
      </c>
      <c r="Q37" s="55" t="s">
        <v>21</v>
      </c>
      <c r="R37" s="55" t="s">
        <v>22</v>
      </c>
      <c r="S37" s="83"/>
      <c r="T37" s="78"/>
    </row>
    <row r="38" spans="1:20" s="2" customFormat="true" ht="13.95" customHeight="true">
      <c r="A38" s="16">
        <v>4</v>
      </c>
      <c r="B38" s="17" t="str">
        <f>=DISPIMG("ID_922D1C9B229D44E5A239DFCC8FC49777",1)</f>
        <v>=DISPIMG("ID_922D1C9B229D44E5A239DFCC8FC49777",1)</v>
      </c>
      <c r="C38" s="18" t="s">
        <v>174</v>
      </c>
      <c r="D38" s="18" t="s">
        <v>171</v>
      </c>
      <c r="E38" s="19"/>
      <c r="F38" s="19"/>
      <c r="G38" s="20" t="s">
        <v>153</v>
      </c>
      <c r="H38" s="21" t="str">
        <f>=DISPIMG("ID_648E220923A8463FA0B0D0684563C4B2",1)</f>
        <v>=DISPIMG("ID_648E220923A8463FA0B0D0684563C4B2",1)</v>
      </c>
      <c r="I38" s="56">
        <v>15.92</v>
      </c>
      <c r="J38" s="57" t="s">
        <v>26</v>
      </c>
      <c r="K38" s="23">
        <v>9</v>
      </c>
      <c r="L38" s="58">
        <f>I38*K38</f>
        <v>143.28</v>
      </c>
      <c r="M38" s="57" t="s">
        <v>26</v>
      </c>
      <c r="N38" s="23">
        <v>0</v>
      </c>
      <c r="O38" s="23">
        <v>10</v>
      </c>
      <c r="P38" s="23">
        <f t="shared" ref="P38:P43" si="6">MAX(0,K38-O38)</f>
        <v>0</v>
      </c>
      <c r="Q38" s="23">
        <v>2</v>
      </c>
      <c r="R38" s="23"/>
      <c r="T38" s="79"/>
    </row>
    <row r="39" spans="1:20" s="2" customFormat="true">
      <c r="A39" s="16"/>
      <c r="B39" s="16"/>
      <c r="C39" s="22"/>
      <c r="D39" s="22"/>
      <c r="E39" s="23"/>
      <c r="F39" s="23"/>
      <c r="G39" s="20"/>
      <c r="H39" s="21"/>
      <c r="I39" s="59"/>
      <c r="J39" s="57" t="s">
        <v>27</v>
      </c>
      <c r="K39" s="23">
        <v>20</v>
      </c>
      <c r="L39" s="58">
        <f>I38*K39</f>
        <v>318.4</v>
      </c>
      <c r="M39" s="57" t="s">
        <v>27</v>
      </c>
      <c r="N39" s="23">
        <v>0</v>
      </c>
      <c r="O39" s="23">
        <v>27</v>
      </c>
      <c r="P39" s="23">
        <f t="shared" si="6"/>
        <v>0</v>
      </c>
      <c r="Q39" s="23">
        <v>7</v>
      </c>
      <c r="R39" s="23"/>
      <c r="T39" s="79"/>
    </row>
    <row r="40" spans="1:20" s="2" customFormat="true">
      <c r="A40" s="16"/>
      <c r="B40" s="16"/>
      <c r="C40" s="22"/>
      <c r="D40" s="22"/>
      <c r="E40" s="23"/>
      <c r="F40" s="23"/>
      <c r="G40" s="20"/>
      <c r="H40" s="21"/>
      <c r="I40" s="59"/>
      <c r="J40" s="57" t="s">
        <v>28</v>
      </c>
      <c r="K40" s="23">
        <v>28</v>
      </c>
      <c r="L40" s="58">
        <f>I38*K40</f>
        <v>445.76</v>
      </c>
      <c r="M40" s="57" t="s">
        <v>28</v>
      </c>
      <c r="N40" s="23">
        <v>0</v>
      </c>
      <c r="O40" s="23">
        <v>36</v>
      </c>
      <c r="P40" s="23">
        <f t="shared" si="6"/>
        <v>0</v>
      </c>
      <c r="Q40" s="23">
        <v>8</v>
      </c>
      <c r="R40" s="23"/>
      <c r="T40" s="79"/>
    </row>
    <row r="41" spans="1:20" s="2" customFormat="true">
      <c r="A41" s="16"/>
      <c r="B41" s="16"/>
      <c r="C41" s="22"/>
      <c r="D41" s="22"/>
      <c r="E41" s="23"/>
      <c r="F41" s="23"/>
      <c r="G41" s="20"/>
      <c r="H41" s="21"/>
      <c r="I41" s="59"/>
      <c r="J41" s="57" t="s">
        <v>29</v>
      </c>
      <c r="K41" s="23">
        <v>19</v>
      </c>
      <c r="L41" s="58">
        <f>I38*K41</f>
        <v>302.48</v>
      </c>
      <c r="M41" s="57" t="s">
        <v>29</v>
      </c>
      <c r="N41" s="23">
        <v>0</v>
      </c>
      <c r="O41" s="23">
        <v>28</v>
      </c>
      <c r="P41" s="23">
        <f t="shared" si="6"/>
        <v>0</v>
      </c>
      <c r="Q41" s="23">
        <v>11</v>
      </c>
      <c r="R41" s="23"/>
      <c r="T41" s="79"/>
    </row>
    <row r="42" spans="1:20" s="2" customFormat="true">
      <c r="A42" s="16"/>
      <c r="B42" s="16"/>
      <c r="C42" s="22"/>
      <c r="D42" s="22"/>
      <c r="E42" s="23"/>
      <c r="F42" s="23"/>
      <c r="G42" s="20"/>
      <c r="H42" s="21"/>
      <c r="I42" s="59"/>
      <c r="J42" s="57" t="s">
        <v>30</v>
      </c>
      <c r="K42" s="23">
        <v>7</v>
      </c>
      <c r="L42" s="58">
        <f>I38*K42</f>
        <v>111.44</v>
      </c>
      <c r="M42" s="57" t="s">
        <v>30</v>
      </c>
      <c r="N42" s="23">
        <v>0</v>
      </c>
      <c r="O42" s="23">
        <v>9</v>
      </c>
      <c r="P42" s="23">
        <f t="shared" si="6"/>
        <v>0</v>
      </c>
      <c r="Q42" s="23">
        <v>2</v>
      </c>
      <c r="R42" s="23"/>
      <c r="T42" s="79"/>
    </row>
    <row r="43" spans="1:20" s="2" customFormat="true">
      <c r="A43" s="16"/>
      <c r="B43" s="16"/>
      <c r="C43" s="22"/>
      <c r="D43" s="22"/>
      <c r="E43" s="23"/>
      <c r="F43" s="23"/>
      <c r="G43" s="20"/>
      <c r="H43" s="21"/>
      <c r="I43" s="60"/>
      <c r="J43" s="23" t="s">
        <v>31</v>
      </c>
      <c r="K43" s="23">
        <v>9</v>
      </c>
      <c r="L43" s="58">
        <f>I38*K43</f>
        <v>143.28</v>
      </c>
      <c r="M43" s="23" t="s">
        <v>31</v>
      </c>
      <c r="N43" s="23">
        <v>0</v>
      </c>
      <c r="O43" s="23">
        <v>15</v>
      </c>
      <c r="P43" s="23">
        <f t="shared" si="6"/>
        <v>0</v>
      </c>
      <c r="Q43" s="23">
        <v>7</v>
      </c>
      <c r="R43" s="23"/>
      <c r="T43" s="79"/>
    </row>
    <row r="44" spans="1:20" s="2" customFormat="true">
      <c r="A44" s="24"/>
      <c r="B44" s="24"/>
      <c r="C44" s="25"/>
      <c r="D44" s="25"/>
      <c r="E44" s="23"/>
      <c r="F44" s="23"/>
      <c r="G44" s="26"/>
      <c r="H44" s="27"/>
      <c r="I44" s="62"/>
      <c r="J44" s="61" t="s">
        <v>32</v>
      </c>
      <c r="K44" s="62">
        <f t="shared" ref="K44:N44" si="7">SUM(K38:K43)</f>
        <v>92</v>
      </c>
      <c r="L44" s="63">
        <f t="shared" si="7"/>
        <v>1464.64</v>
      </c>
      <c r="M44" s="61" t="s">
        <v>32</v>
      </c>
      <c r="N44" s="62">
        <f t="shared" si="7"/>
        <v>0</v>
      </c>
      <c r="O44" s="64" cm="1">
        <f t="array" ref="O44">SUMPRODUCT(--(O38:O43))</f>
        <v>125</v>
      </c>
      <c r="P44" s="64" cm="1">
        <f t="array" ref="P44">SUMPRODUCT(--(P38:P43))</f>
        <v>0</v>
      </c>
      <c r="Q44" s="64">
        <f>SUM(Q38:Q43)</f>
        <v>37</v>
      </c>
      <c r="R44" s="64">
        <f>SUM(R38:R43)</f>
        <v>0</v>
      </c>
      <c r="T44" s="79"/>
    </row>
    <row r="45" spans="1:20" s="2" customFormat="true" ht="17.4" customHeight="true">
      <c r="A45" s="28"/>
      <c r="B45" s="29"/>
      <c r="C45" s="29"/>
      <c r="D45" s="29"/>
      <c r="E45" s="29"/>
      <c r="F45" s="29"/>
      <c r="G45" s="29"/>
      <c r="H45" s="29"/>
      <c r="I45" s="29"/>
      <c r="J45" s="29"/>
      <c r="K45" s="29"/>
      <c r="L45" s="29"/>
      <c r="M45" s="29"/>
      <c r="N45" s="29"/>
      <c r="O45" s="29"/>
      <c r="P45" s="29"/>
      <c r="T45" s="79"/>
    </row>
    <row r="46" spans="1:20" s="1" customFormat="true" ht="10.95" customHeight="true">
      <c r="A46" s="7" t="s">
        <v>3</v>
      </c>
      <c r="B46" s="30" t="s">
        <v>4</v>
      </c>
      <c r="C46" s="7" t="s">
        <v>5</v>
      </c>
      <c r="D46" s="30" t="s">
        <v>6</v>
      </c>
      <c r="E46" s="30" t="s">
        <v>7</v>
      </c>
      <c r="F46" s="30" t="s">
        <v>8</v>
      </c>
      <c r="G46" s="30" t="s">
        <v>9</v>
      </c>
      <c r="H46" s="30"/>
      <c r="I46" s="7" t="s">
        <v>10</v>
      </c>
      <c r="J46" s="7" t="s">
        <v>11</v>
      </c>
      <c r="K46" s="8" t="s">
        <v>12</v>
      </c>
      <c r="L46" s="9"/>
      <c r="M46" s="7" t="s">
        <v>11</v>
      </c>
      <c r="N46" s="52" t="s">
        <v>161</v>
      </c>
      <c r="O46" s="52"/>
      <c r="P46" s="9"/>
      <c r="Q46" s="9" t="s">
        <v>14</v>
      </c>
      <c r="R46" s="9" t="s">
        <v>15</v>
      </c>
      <c r="S46" s="83"/>
      <c r="T46" s="78"/>
    </row>
    <row r="47" spans="1:20" s="1" customFormat="true" ht="16.05" customHeight="true">
      <c r="A47" s="10"/>
      <c r="B47" s="30"/>
      <c r="C47" s="10"/>
      <c r="D47" s="30"/>
      <c r="E47" s="30"/>
      <c r="F47" s="30"/>
      <c r="G47" s="30"/>
      <c r="H47" s="30"/>
      <c r="I47" s="10"/>
      <c r="J47" s="10"/>
      <c r="K47" s="14"/>
      <c r="L47" s="15"/>
      <c r="M47" s="10"/>
      <c r="N47" s="53"/>
      <c r="O47" s="53"/>
      <c r="P47" s="15"/>
      <c r="Q47" s="15"/>
      <c r="R47" s="15"/>
      <c r="S47" s="83"/>
      <c r="T47" s="78"/>
    </row>
    <row r="48" spans="1:20" s="1" customFormat="true" ht="28.95" customHeight="true">
      <c r="A48" s="13"/>
      <c r="B48" s="30"/>
      <c r="C48" s="13"/>
      <c r="D48" s="30"/>
      <c r="E48" s="30"/>
      <c r="F48" s="30"/>
      <c r="G48" s="30"/>
      <c r="H48" s="30"/>
      <c r="I48" s="13"/>
      <c r="J48" s="13"/>
      <c r="K48" s="54" t="s">
        <v>16</v>
      </c>
      <c r="L48" s="55" t="s">
        <v>17</v>
      </c>
      <c r="M48" s="13"/>
      <c r="N48" s="55" t="s">
        <v>18</v>
      </c>
      <c r="O48" s="55" t="s">
        <v>19</v>
      </c>
      <c r="P48" s="55" t="s">
        <v>20</v>
      </c>
      <c r="Q48" s="55" t="s">
        <v>21</v>
      </c>
      <c r="R48" s="55" t="s">
        <v>22</v>
      </c>
      <c r="S48" s="83"/>
      <c r="T48" s="78"/>
    </row>
    <row r="49" spans="1:20" s="2" customFormat="true" ht="13.95" customHeight="true">
      <c r="A49" s="16">
        <v>5</v>
      </c>
      <c r="B49" s="17" t="str">
        <f>=DISPIMG("ID_0BCE025C51A849BF96257C3BDFB7030A",1)</f>
        <v>=DISPIMG("ID_0BCE025C51A849BF96257C3BDFB7030A",1)</v>
      </c>
      <c r="C49" s="18" t="s">
        <v>175</v>
      </c>
      <c r="D49" s="18" t="s">
        <v>171</v>
      </c>
      <c r="E49" s="19"/>
      <c r="F49" s="19"/>
      <c r="G49" s="20" t="s">
        <v>155</v>
      </c>
      <c r="H49" s="21" t="str">
        <f>=DISPIMG("ID_FB19474EBEC64728BC87C532CEF6A7A4",1)</f>
        <v>=DISPIMG("ID_FB19474EBEC64728BC87C532CEF6A7A4",1)</v>
      </c>
      <c r="I49" s="56">
        <v>15.92</v>
      </c>
      <c r="J49" s="57" t="s">
        <v>26</v>
      </c>
      <c r="K49" s="23">
        <v>10</v>
      </c>
      <c r="L49" s="58">
        <f>I49*K49</f>
        <v>159.2</v>
      </c>
      <c r="M49" s="57" t="s">
        <v>26</v>
      </c>
      <c r="N49" s="23">
        <v>0</v>
      </c>
      <c r="O49" s="23">
        <v>11</v>
      </c>
      <c r="P49" s="23">
        <f t="shared" ref="P49:P54" si="8">MAX(0,K49-O49)</f>
        <v>0</v>
      </c>
      <c r="Q49" s="23">
        <v>1</v>
      </c>
      <c r="R49" s="23"/>
      <c r="T49" s="79"/>
    </row>
    <row r="50" spans="1:20" s="2" customFormat="true">
      <c r="A50" s="16"/>
      <c r="B50" s="16"/>
      <c r="C50" s="22"/>
      <c r="D50" s="22"/>
      <c r="E50" s="23"/>
      <c r="F50" s="23"/>
      <c r="G50" s="20"/>
      <c r="H50" s="21"/>
      <c r="I50" s="59"/>
      <c r="J50" s="57" t="s">
        <v>27</v>
      </c>
      <c r="K50" s="23">
        <v>71</v>
      </c>
      <c r="L50" s="58">
        <f>I49*K50</f>
        <v>1130.32</v>
      </c>
      <c r="M50" s="57" t="s">
        <v>27</v>
      </c>
      <c r="N50" s="23">
        <v>0</v>
      </c>
      <c r="O50" s="23">
        <v>45</v>
      </c>
      <c r="P50" s="23">
        <f t="shared" si="8"/>
        <v>26</v>
      </c>
      <c r="Q50" s="23">
        <v>8</v>
      </c>
      <c r="R50" s="23"/>
      <c r="T50" s="79"/>
    </row>
    <row r="51" spans="1:20" s="2" customFormat="true">
      <c r="A51" s="16"/>
      <c r="B51" s="16"/>
      <c r="C51" s="22"/>
      <c r="D51" s="22"/>
      <c r="E51" s="23"/>
      <c r="F51" s="23"/>
      <c r="G51" s="20"/>
      <c r="H51" s="21"/>
      <c r="I51" s="59"/>
      <c r="J51" s="57" t="s">
        <v>28</v>
      </c>
      <c r="K51" s="23">
        <v>131</v>
      </c>
      <c r="L51" s="58">
        <f>I49*K51</f>
        <v>2085.52</v>
      </c>
      <c r="M51" s="57" t="s">
        <v>28</v>
      </c>
      <c r="N51" s="23">
        <v>0</v>
      </c>
      <c r="O51" s="23">
        <v>78</v>
      </c>
      <c r="P51" s="23">
        <f t="shared" si="8"/>
        <v>53</v>
      </c>
      <c r="Q51" s="23">
        <v>20</v>
      </c>
      <c r="R51" s="23"/>
      <c r="T51" s="79"/>
    </row>
    <row r="52" spans="1:20" s="2" customFormat="true">
      <c r="A52" s="16"/>
      <c r="B52" s="16"/>
      <c r="C52" s="22"/>
      <c r="D52" s="22"/>
      <c r="E52" s="23"/>
      <c r="F52" s="23"/>
      <c r="G52" s="20"/>
      <c r="H52" s="21"/>
      <c r="I52" s="59"/>
      <c r="J52" s="57" t="s">
        <v>29</v>
      </c>
      <c r="K52" s="23">
        <v>95</v>
      </c>
      <c r="L52" s="58">
        <f>I49*K52</f>
        <v>1512.4</v>
      </c>
      <c r="M52" s="57" t="s">
        <v>29</v>
      </c>
      <c r="N52" s="23">
        <v>0</v>
      </c>
      <c r="O52" s="23">
        <v>84</v>
      </c>
      <c r="P52" s="23">
        <f t="shared" si="8"/>
        <v>11</v>
      </c>
      <c r="Q52" s="23">
        <v>15</v>
      </c>
      <c r="R52" s="23"/>
      <c r="T52" s="79"/>
    </row>
    <row r="53" spans="1:20" s="2" customFormat="true">
      <c r="A53" s="16"/>
      <c r="B53" s="16"/>
      <c r="C53" s="22"/>
      <c r="D53" s="22"/>
      <c r="E53" s="23"/>
      <c r="F53" s="23"/>
      <c r="G53" s="20"/>
      <c r="H53" s="21"/>
      <c r="I53" s="59"/>
      <c r="J53" s="57" t="s">
        <v>30</v>
      </c>
      <c r="K53" s="23">
        <v>90</v>
      </c>
      <c r="L53" s="58">
        <f>I49*K53</f>
        <v>1432.8</v>
      </c>
      <c r="M53" s="57" t="s">
        <v>30</v>
      </c>
      <c r="N53" s="23">
        <v>0</v>
      </c>
      <c r="O53" s="23">
        <v>73</v>
      </c>
      <c r="P53" s="23">
        <f t="shared" si="8"/>
        <v>17</v>
      </c>
      <c r="Q53" s="23">
        <v>13</v>
      </c>
      <c r="R53" s="23"/>
      <c r="T53" s="79"/>
    </row>
    <row r="54" spans="1:20" s="2" customFormat="true">
      <c r="A54" s="16"/>
      <c r="B54" s="16"/>
      <c r="C54" s="22"/>
      <c r="D54" s="22"/>
      <c r="E54" s="23"/>
      <c r="F54" s="23"/>
      <c r="G54" s="20"/>
      <c r="H54" s="21"/>
      <c r="I54" s="60"/>
      <c r="J54" s="23" t="s">
        <v>31</v>
      </c>
      <c r="K54" s="23">
        <v>62</v>
      </c>
      <c r="L54" s="58">
        <f>I49*K54</f>
        <v>987.04</v>
      </c>
      <c r="M54" s="23" t="s">
        <v>31</v>
      </c>
      <c r="N54" s="23">
        <v>0</v>
      </c>
      <c r="O54" s="23">
        <v>60</v>
      </c>
      <c r="P54" s="23">
        <f t="shared" si="8"/>
        <v>2</v>
      </c>
      <c r="Q54" s="23">
        <v>11</v>
      </c>
      <c r="R54" s="23"/>
      <c r="T54" s="79"/>
    </row>
    <row r="55" spans="1:20" s="2" customFormat="true">
      <c r="A55" s="24"/>
      <c r="B55" s="24"/>
      <c r="C55" s="25"/>
      <c r="D55" s="25"/>
      <c r="E55" s="23"/>
      <c r="F55" s="23"/>
      <c r="G55" s="26"/>
      <c r="H55" s="27"/>
      <c r="I55" s="62"/>
      <c r="J55" s="61" t="s">
        <v>32</v>
      </c>
      <c r="K55" s="62">
        <f t="shared" ref="K55:N55" si="9">SUM(K49:K54)</f>
        <v>459</v>
      </c>
      <c r="L55" s="63">
        <f t="shared" si="9"/>
        <v>7307.28</v>
      </c>
      <c r="M55" s="61" t="s">
        <v>32</v>
      </c>
      <c r="N55" s="62">
        <f t="shared" si="9"/>
        <v>0</v>
      </c>
      <c r="O55" s="64" cm="1">
        <f t="array" ref="O55">SUMPRODUCT(--(O49:O54))</f>
        <v>351</v>
      </c>
      <c r="P55" s="64" cm="1">
        <f t="array" ref="P55">SUMPRODUCT(--(P49:P54))</f>
        <v>109</v>
      </c>
      <c r="Q55" s="64">
        <f>SUM(Q49:Q54)</f>
        <v>68</v>
      </c>
      <c r="R55" s="64">
        <f>SUM(R49:R54)</f>
        <v>0</v>
      </c>
      <c r="T55" s="79"/>
    </row>
    <row r="56" spans="1:20" s="2" customFormat="true" ht="17.4" customHeight="true">
      <c r="A56" s="28"/>
      <c r="B56" s="29"/>
      <c r="C56" s="29"/>
      <c r="D56" s="29"/>
      <c r="E56" s="29"/>
      <c r="F56" s="29"/>
      <c r="G56" s="29"/>
      <c r="H56" s="29"/>
      <c r="I56" s="29"/>
      <c r="J56" s="29"/>
      <c r="K56" s="29"/>
      <c r="L56" s="29"/>
      <c r="M56" s="29"/>
      <c r="N56" s="29"/>
      <c r="O56" s="29"/>
      <c r="P56" s="29"/>
      <c r="T56" s="79"/>
    </row>
    <row r="57" spans="1:20" s="1" customFormat="true" ht="10.95" customHeight="true">
      <c r="A57" s="7" t="s">
        <v>3</v>
      </c>
      <c r="B57" s="30" t="s">
        <v>4</v>
      </c>
      <c r="C57" s="7" t="s">
        <v>5</v>
      </c>
      <c r="D57" s="30" t="s">
        <v>6</v>
      </c>
      <c r="E57" s="30" t="s">
        <v>7</v>
      </c>
      <c r="F57" s="30" t="s">
        <v>8</v>
      </c>
      <c r="G57" s="30" t="s">
        <v>9</v>
      </c>
      <c r="H57" s="30"/>
      <c r="I57" s="7" t="s">
        <v>10</v>
      </c>
      <c r="J57" s="7" t="s">
        <v>11</v>
      </c>
      <c r="K57" s="8" t="s">
        <v>12</v>
      </c>
      <c r="L57" s="9"/>
      <c r="M57" s="7" t="s">
        <v>11</v>
      </c>
      <c r="N57" s="52" t="s">
        <v>161</v>
      </c>
      <c r="O57" s="52"/>
      <c r="P57" s="9"/>
      <c r="Q57" s="9" t="s">
        <v>14</v>
      </c>
      <c r="R57" s="9" t="s">
        <v>15</v>
      </c>
      <c r="S57" s="83"/>
      <c r="T57" s="78"/>
    </row>
    <row r="58" spans="1:20" s="1" customFormat="true" ht="16.05" customHeight="true">
      <c r="A58" s="10"/>
      <c r="B58" s="30"/>
      <c r="C58" s="10"/>
      <c r="D58" s="30"/>
      <c r="E58" s="30"/>
      <c r="F58" s="30"/>
      <c r="G58" s="30"/>
      <c r="H58" s="30"/>
      <c r="I58" s="10"/>
      <c r="J58" s="10"/>
      <c r="K58" s="14"/>
      <c r="L58" s="15"/>
      <c r="M58" s="10"/>
      <c r="N58" s="53"/>
      <c r="O58" s="53"/>
      <c r="P58" s="15"/>
      <c r="Q58" s="15"/>
      <c r="R58" s="15"/>
      <c r="S58" s="83"/>
      <c r="T58" s="78"/>
    </row>
    <row r="59" spans="1:20" s="1" customFormat="true" ht="28.95" customHeight="true">
      <c r="A59" s="13"/>
      <c r="B59" s="30"/>
      <c r="C59" s="13"/>
      <c r="D59" s="30"/>
      <c r="E59" s="30"/>
      <c r="F59" s="30"/>
      <c r="G59" s="30"/>
      <c r="H59" s="30"/>
      <c r="I59" s="13"/>
      <c r="J59" s="13"/>
      <c r="K59" s="54" t="s">
        <v>16</v>
      </c>
      <c r="L59" s="55" t="s">
        <v>17</v>
      </c>
      <c r="M59" s="13"/>
      <c r="N59" s="55" t="s">
        <v>18</v>
      </c>
      <c r="O59" s="55" t="s">
        <v>19</v>
      </c>
      <c r="P59" s="55" t="s">
        <v>20</v>
      </c>
      <c r="Q59" s="55" t="s">
        <v>21</v>
      </c>
      <c r="R59" s="55" t="s">
        <v>22</v>
      </c>
      <c r="S59" s="83"/>
      <c r="T59" s="78"/>
    </row>
    <row r="60" spans="1:20" s="2" customFormat="true" ht="13.95" customHeight="true">
      <c r="A60" s="16">
        <v>6</v>
      </c>
      <c r="B60" s="17" t="str">
        <f>=DISPIMG("ID_FC8209F36C404D50AFA672488BB503F6",1)</f>
        <v>=DISPIMG("ID_FC8209F36C404D50AFA672488BB503F6",1)</v>
      </c>
      <c r="C60" s="18" t="s">
        <v>176</v>
      </c>
      <c r="D60" s="18" t="s">
        <v>171</v>
      </c>
      <c r="E60" s="19"/>
      <c r="F60" s="19"/>
      <c r="G60" s="20" t="s">
        <v>157</v>
      </c>
      <c r="H60" s="21" t="str">
        <f>=DISPIMG("ID_1409A879005148C89C6510C8F26B6C23",1)</f>
        <v>=DISPIMG("ID_1409A879005148C89C6510C8F26B6C23",1)</v>
      </c>
      <c r="I60" s="56">
        <v>15.92</v>
      </c>
      <c r="J60" s="57" t="s">
        <v>26</v>
      </c>
      <c r="K60" s="23">
        <v>0</v>
      </c>
      <c r="L60" s="58">
        <f>I60*K60</f>
        <v>0</v>
      </c>
      <c r="M60" s="57" t="s">
        <v>26</v>
      </c>
      <c r="N60" s="23">
        <v>0</v>
      </c>
      <c r="O60" s="23">
        <v>0</v>
      </c>
      <c r="P60" s="23">
        <f t="shared" ref="P60:P65" si="10">MAX(0,K60-O60)</f>
        <v>0</v>
      </c>
      <c r="Q60" s="23"/>
      <c r="R60" s="23"/>
      <c r="T60" s="79"/>
    </row>
    <row r="61" spans="1:20" s="2" customFormat="true">
      <c r="A61" s="16"/>
      <c r="B61" s="16"/>
      <c r="C61" s="22"/>
      <c r="D61" s="22"/>
      <c r="E61" s="23"/>
      <c r="F61" s="23"/>
      <c r="G61" s="20"/>
      <c r="H61" s="21"/>
      <c r="I61" s="59"/>
      <c r="J61" s="57" t="s">
        <v>27</v>
      </c>
      <c r="K61" s="23">
        <v>0</v>
      </c>
      <c r="L61" s="58">
        <f>I60*K61</f>
        <v>0</v>
      </c>
      <c r="M61" s="57" t="s">
        <v>27</v>
      </c>
      <c r="N61" s="23">
        <v>0</v>
      </c>
      <c r="O61" s="23">
        <v>0</v>
      </c>
      <c r="P61" s="23">
        <f t="shared" si="10"/>
        <v>0</v>
      </c>
      <c r="Q61" s="23"/>
      <c r="R61" s="23"/>
      <c r="T61" s="79"/>
    </row>
    <row r="62" spans="1:20" s="2" customFormat="true">
      <c r="A62" s="16"/>
      <c r="B62" s="16"/>
      <c r="C62" s="22"/>
      <c r="D62" s="22"/>
      <c r="E62" s="23"/>
      <c r="F62" s="23"/>
      <c r="G62" s="20"/>
      <c r="H62" s="21"/>
      <c r="I62" s="59"/>
      <c r="J62" s="57" t="s">
        <v>28</v>
      </c>
      <c r="K62" s="23">
        <v>9</v>
      </c>
      <c r="L62" s="58">
        <f>I60*K62</f>
        <v>143.28</v>
      </c>
      <c r="M62" s="57" t="s">
        <v>28</v>
      </c>
      <c r="N62" s="23">
        <v>0</v>
      </c>
      <c r="O62" s="23">
        <v>5</v>
      </c>
      <c r="P62" s="23">
        <f t="shared" si="10"/>
        <v>4</v>
      </c>
      <c r="Q62" s="23">
        <v>1</v>
      </c>
      <c r="R62" s="23"/>
      <c r="T62" s="79"/>
    </row>
    <row r="63" spans="1:20" s="2" customFormat="true">
      <c r="A63" s="16"/>
      <c r="B63" s="16"/>
      <c r="C63" s="22"/>
      <c r="D63" s="22"/>
      <c r="E63" s="23"/>
      <c r="F63" s="23"/>
      <c r="G63" s="20"/>
      <c r="H63" s="21"/>
      <c r="I63" s="59"/>
      <c r="J63" s="57" t="s">
        <v>29</v>
      </c>
      <c r="K63" s="23">
        <v>13</v>
      </c>
      <c r="L63" s="58">
        <f>I60*K63</f>
        <v>206.96</v>
      </c>
      <c r="M63" s="57" t="s">
        <v>29</v>
      </c>
      <c r="N63" s="23">
        <v>0</v>
      </c>
      <c r="O63" s="23">
        <v>4</v>
      </c>
      <c r="P63" s="23">
        <f t="shared" si="10"/>
        <v>9</v>
      </c>
      <c r="Q63" s="23">
        <v>0</v>
      </c>
      <c r="R63" s="23"/>
      <c r="T63" s="79"/>
    </row>
    <row r="64" spans="1:20" s="2" customFormat="true">
      <c r="A64" s="16"/>
      <c r="B64" s="16"/>
      <c r="C64" s="22"/>
      <c r="D64" s="22"/>
      <c r="E64" s="23"/>
      <c r="F64" s="23"/>
      <c r="G64" s="20"/>
      <c r="H64" s="21"/>
      <c r="I64" s="59"/>
      <c r="J64" s="57" t="s">
        <v>30</v>
      </c>
      <c r="K64" s="23">
        <v>8</v>
      </c>
      <c r="L64" s="58">
        <f>I60*K64</f>
        <v>127.36</v>
      </c>
      <c r="M64" s="57" t="s">
        <v>30</v>
      </c>
      <c r="N64" s="23">
        <v>0</v>
      </c>
      <c r="O64" s="23">
        <v>2</v>
      </c>
      <c r="P64" s="23">
        <f t="shared" si="10"/>
        <v>6</v>
      </c>
      <c r="Q64" s="23">
        <v>0</v>
      </c>
      <c r="R64" s="23"/>
      <c r="T64" s="79"/>
    </row>
    <row r="65" spans="1:20" s="2" customFormat="true">
      <c r="A65" s="16"/>
      <c r="B65" s="16"/>
      <c r="C65" s="22"/>
      <c r="D65" s="22"/>
      <c r="E65" s="23"/>
      <c r="F65" s="23"/>
      <c r="G65" s="20"/>
      <c r="H65" s="21"/>
      <c r="I65" s="60"/>
      <c r="J65" s="23" t="s">
        <v>31</v>
      </c>
      <c r="K65" s="23">
        <v>0</v>
      </c>
      <c r="L65" s="58">
        <f>I60*K65</f>
        <v>0</v>
      </c>
      <c r="M65" s="23" t="s">
        <v>31</v>
      </c>
      <c r="N65" s="62">
        <v>0</v>
      </c>
      <c r="O65" s="23">
        <v>0</v>
      </c>
      <c r="P65" s="23">
        <f t="shared" si="10"/>
        <v>0</v>
      </c>
      <c r="Q65" s="23"/>
      <c r="R65" s="23"/>
      <c r="T65" s="79"/>
    </row>
    <row r="66" spans="1:20" s="2" customFormat="true">
      <c r="A66" s="24"/>
      <c r="B66" s="24"/>
      <c r="C66" s="25"/>
      <c r="D66" s="25"/>
      <c r="E66" s="23"/>
      <c r="F66" s="23"/>
      <c r="G66" s="26"/>
      <c r="H66" s="27"/>
      <c r="I66" s="62"/>
      <c r="J66" s="61" t="s">
        <v>32</v>
      </c>
      <c r="K66" s="62">
        <f t="shared" ref="K66:N66" si="11">SUM(K60:K65)</f>
        <v>30</v>
      </c>
      <c r="L66" s="63">
        <f t="shared" si="11"/>
        <v>477.6</v>
      </c>
      <c r="M66" s="61" t="s">
        <v>32</v>
      </c>
      <c r="N66" s="62">
        <f t="shared" si="11"/>
        <v>0</v>
      </c>
      <c r="O66" s="64" cm="1">
        <f t="array" ref="O66">SUMPRODUCT(--(O60:O65))</f>
        <v>11</v>
      </c>
      <c r="P66" s="64" cm="1">
        <f t="array" ref="P66">SUMPRODUCT(--(P60:P65))</f>
        <v>19</v>
      </c>
      <c r="Q66" s="64">
        <f>SUM(Q60:Q65)</f>
        <v>1</v>
      </c>
      <c r="R66" s="64">
        <f>SUM(R60:R65)</f>
        <v>0</v>
      </c>
      <c r="T66" s="79"/>
    </row>
    <row r="67" spans="1:16" s="3" customFormat="true">
      <c r="A67" s="4"/>
      <c r="B67" s="4"/>
      <c r="C67" s="31"/>
      <c r="D67" s="31"/>
      <c r="E67" s="31"/>
      <c r="F67" s="31"/>
      <c r="G67" s="31"/>
      <c r="H67" s="31"/>
      <c r="I67" s="65"/>
      <c r="J67" s="31"/>
      <c r="K67" s="65"/>
      <c r="L67" s="65"/>
      <c r="M67" s="31"/>
      <c r="N67" s="65"/>
      <c r="O67" s="65"/>
      <c r="P67" s="65"/>
    </row>
    <row r="68" spans="1:16" s="3" customFormat="true">
      <c r="A68" s="4"/>
      <c r="B68" s="4"/>
      <c r="C68" s="31"/>
      <c r="D68" s="31"/>
      <c r="E68" s="31"/>
      <c r="F68" s="31"/>
      <c r="G68" s="31"/>
      <c r="H68" s="31"/>
      <c r="I68" s="65"/>
      <c r="J68" s="31"/>
      <c r="K68" s="65"/>
      <c r="L68" s="65"/>
      <c r="M68" s="31"/>
      <c r="N68" s="65"/>
      <c r="O68" s="65"/>
      <c r="P68" s="65"/>
    </row>
    <row r="69"/>
    <row r="70" spans="1:14" s="3" customFormat="true" ht="46" customHeight="true">
      <c r="A70" s="32" t="s">
        <v>45</v>
      </c>
      <c r="B70" s="33"/>
      <c r="C70" s="34" t="s">
        <v>5</v>
      </c>
      <c r="D70" s="35" t="s">
        <v>6</v>
      </c>
      <c r="E70" s="35" t="s">
        <v>7</v>
      </c>
      <c r="F70" s="35" t="s">
        <v>8</v>
      </c>
      <c r="G70" s="32" t="s">
        <v>9</v>
      </c>
      <c r="H70" s="33"/>
      <c r="I70" s="34" t="s">
        <v>46</v>
      </c>
      <c r="J70" s="34" t="s">
        <v>47</v>
      </c>
      <c r="K70" s="32" t="s">
        <v>49</v>
      </c>
      <c r="L70" s="84"/>
      <c r="M70" s="84"/>
      <c r="N70" s="33"/>
    </row>
    <row r="71" spans="1:14" s="3" customFormat="true" ht="25.05" customHeight="true">
      <c r="A71" s="36"/>
      <c r="B71" s="37"/>
      <c r="C71" s="18" t="s">
        <v>177</v>
      </c>
      <c r="D71" s="18" t="s">
        <v>171</v>
      </c>
      <c r="E71" s="38"/>
      <c r="F71" s="38"/>
      <c r="G71" s="39" t="s">
        <v>159</v>
      </c>
      <c r="H71" s="40"/>
      <c r="I71" s="68" t="str">
        <f>SUM(K11,K22,K33,K44,K55,K66)&amp;"件"</f>
        <v>2533件</v>
      </c>
      <c r="J71" s="68" t="str">
        <f>SUM(O11,O22,O33,O44,O55,O66)&amp;"件"</f>
        <v>1221件</v>
      </c>
      <c r="K71" s="69"/>
      <c r="L71" s="71"/>
      <c r="M71" s="71"/>
      <c r="N71" s="70"/>
    </row>
    <row r="72" spans="1:14" s="3" customFormat="true" ht="25.05" customHeight="true">
      <c r="A72" s="41"/>
      <c r="B72" s="42"/>
      <c r="C72" s="22"/>
      <c r="D72" s="22"/>
      <c r="E72" s="43"/>
      <c r="F72" s="43"/>
      <c r="G72" s="44"/>
      <c r="H72" s="45"/>
      <c r="I72" s="16"/>
      <c r="J72" s="16"/>
      <c r="K72" s="72"/>
      <c r="L72" s="85"/>
      <c r="M72" s="85"/>
      <c r="N72" s="73"/>
    </row>
    <row r="73" spans="1:14" s="3" customFormat="true">
      <c r="A73" s="41"/>
      <c r="B73" s="42"/>
      <c r="C73" s="22"/>
      <c r="D73" s="22"/>
      <c r="E73" s="43"/>
      <c r="F73" s="43"/>
      <c r="G73" s="44"/>
      <c r="H73" s="45"/>
      <c r="I73" s="16"/>
      <c r="J73" s="16"/>
      <c r="K73" s="72"/>
      <c r="L73" s="85"/>
      <c r="M73" s="85"/>
      <c r="N73" s="73"/>
    </row>
    <row r="74" spans="1:14" s="3" customFormat="true">
      <c r="A74" s="41"/>
      <c r="B74" s="42"/>
      <c r="C74" s="22"/>
      <c r="D74" s="22"/>
      <c r="E74" s="43"/>
      <c r="F74" s="43"/>
      <c r="G74" s="44"/>
      <c r="H74" s="45"/>
      <c r="I74" s="16"/>
      <c r="J74" s="16"/>
      <c r="K74" s="72"/>
      <c r="L74" s="85"/>
      <c r="M74" s="85"/>
      <c r="N74" s="73"/>
    </row>
    <row r="75" spans="1:14" s="3" customFormat="true">
      <c r="A75" s="41"/>
      <c r="B75" s="42"/>
      <c r="C75" s="22"/>
      <c r="D75" s="22"/>
      <c r="E75" s="43"/>
      <c r="F75" s="43"/>
      <c r="G75" s="44"/>
      <c r="H75" s="45"/>
      <c r="I75" s="16"/>
      <c r="J75" s="16"/>
      <c r="K75" s="72"/>
      <c r="L75" s="85"/>
      <c r="M75" s="85"/>
      <c r="N75" s="73"/>
    </row>
    <row r="76" spans="1:14" s="3" customFormat="true" customHeight="true">
      <c r="A76" s="41"/>
      <c r="B76" s="42"/>
      <c r="C76" s="22"/>
      <c r="D76" s="22"/>
      <c r="E76" s="43"/>
      <c r="F76" s="43"/>
      <c r="G76" s="44"/>
      <c r="H76" s="45"/>
      <c r="I76" s="16"/>
      <c r="J76" s="16"/>
      <c r="K76" s="72"/>
      <c r="L76" s="85"/>
      <c r="M76" s="85"/>
      <c r="N76" s="73"/>
    </row>
    <row r="77" spans="1:14" s="3" customFormat="true">
      <c r="A77" s="46"/>
      <c r="B77" s="47"/>
      <c r="C77" s="25"/>
      <c r="D77" s="25"/>
      <c r="E77" s="48"/>
      <c r="F77" s="48"/>
      <c r="G77" s="49"/>
      <c r="H77" s="50"/>
      <c r="I77" s="24"/>
      <c r="J77" s="24"/>
      <c r="K77" s="75"/>
      <c r="L77" s="77"/>
      <c r="M77" s="77"/>
      <c r="N77" s="76"/>
    </row>
  </sheetData>
  <mergeCells count="157">
    <mergeCell ref="A1:L1"/>
    <mergeCell ref="M1:R1"/>
    <mergeCell ref="A12:P12"/>
    <mergeCell ref="A23:P23"/>
    <mergeCell ref="A34:P34"/>
    <mergeCell ref="A45:P45"/>
    <mergeCell ref="A56:P56"/>
    <mergeCell ref="A70:B70"/>
    <mergeCell ref="G70:H70"/>
    <mergeCell ref="K70:N70"/>
    <mergeCell ref="A2:A4"/>
    <mergeCell ref="A5:A11"/>
    <mergeCell ref="A13:A15"/>
    <mergeCell ref="A16:A22"/>
    <mergeCell ref="A24:A26"/>
    <mergeCell ref="A27:A33"/>
    <mergeCell ref="A35:A37"/>
    <mergeCell ref="A38:A44"/>
    <mergeCell ref="A46:A48"/>
    <mergeCell ref="A49:A55"/>
    <mergeCell ref="A57:A59"/>
    <mergeCell ref="A60:A66"/>
    <mergeCell ref="B2:B4"/>
    <mergeCell ref="B5:B11"/>
    <mergeCell ref="B13:B15"/>
    <mergeCell ref="B16:B22"/>
    <mergeCell ref="B24:B26"/>
    <mergeCell ref="B27:B33"/>
    <mergeCell ref="B35:B37"/>
    <mergeCell ref="B38:B44"/>
    <mergeCell ref="B46:B48"/>
    <mergeCell ref="B49:B55"/>
    <mergeCell ref="B57:B59"/>
    <mergeCell ref="B60:B66"/>
    <mergeCell ref="C2:C4"/>
    <mergeCell ref="C5:C11"/>
    <mergeCell ref="C13:C15"/>
    <mergeCell ref="C16:C22"/>
    <mergeCell ref="C24:C26"/>
    <mergeCell ref="C27:C33"/>
    <mergeCell ref="C35:C37"/>
    <mergeCell ref="C38:C44"/>
    <mergeCell ref="C46:C48"/>
    <mergeCell ref="C49:C55"/>
    <mergeCell ref="C57:C59"/>
    <mergeCell ref="C60:C66"/>
    <mergeCell ref="C71:C77"/>
    <mergeCell ref="D2:D4"/>
    <mergeCell ref="D5:D11"/>
    <mergeCell ref="D13:D15"/>
    <mergeCell ref="D16:D22"/>
    <mergeCell ref="D24:D26"/>
    <mergeCell ref="D27:D33"/>
    <mergeCell ref="D35:D37"/>
    <mergeCell ref="D38:D44"/>
    <mergeCell ref="D46:D48"/>
    <mergeCell ref="D49:D55"/>
    <mergeCell ref="D57:D59"/>
    <mergeCell ref="D60:D66"/>
    <mergeCell ref="D71:D77"/>
    <mergeCell ref="E2:E4"/>
    <mergeCell ref="E5:E11"/>
    <mergeCell ref="E13:E15"/>
    <mergeCell ref="E16:E22"/>
    <mergeCell ref="E24:E26"/>
    <mergeCell ref="E27:E33"/>
    <mergeCell ref="E35:E37"/>
    <mergeCell ref="E38:E44"/>
    <mergeCell ref="E46:E48"/>
    <mergeCell ref="E49:E55"/>
    <mergeCell ref="E57:E59"/>
    <mergeCell ref="E60:E66"/>
    <mergeCell ref="E71:E77"/>
    <mergeCell ref="F2:F4"/>
    <mergeCell ref="F5:F11"/>
    <mergeCell ref="F13:F15"/>
    <mergeCell ref="F16:F22"/>
    <mergeCell ref="F24:F26"/>
    <mergeCell ref="F27:F33"/>
    <mergeCell ref="F35:F37"/>
    <mergeCell ref="F38:F44"/>
    <mergeCell ref="F46:F48"/>
    <mergeCell ref="F49:F55"/>
    <mergeCell ref="F57:F59"/>
    <mergeCell ref="F60:F66"/>
    <mergeCell ref="F71:F77"/>
    <mergeCell ref="G5:G11"/>
    <mergeCell ref="G16:G22"/>
    <mergeCell ref="G27:G33"/>
    <mergeCell ref="G38:G44"/>
    <mergeCell ref="G49:G55"/>
    <mergeCell ref="G60:G66"/>
    <mergeCell ref="H5:H11"/>
    <mergeCell ref="H16:H22"/>
    <mergeCell ref="H27:H33"/>
    <mergeCell ref="H38:H44"/>
    <mergeCell ref="H49:H55"/>
    <mergeCell ref="H60:H66"/>
    <mergeCell ref="I2:I4"/>
    <mergeCell ref="I5:I10"/>
    <mergeCell ref="I13:I15"/>
    <mergeCell ref="I16:I21"/>
    <mergeCell ref="I24:I26"/>
    <mergeCell ref="I27:I32"/>
    <mergeCell ref="I35:I37"/>
    <mergeCell ref="I38:I43"/>
    <mergeCell ref="I46:I48"/>
    <mergeCell ref="I49:I54"/>
    <mergeCell ref="I57:I59"/>
    <mergeCell ref="I60:I65"/>
    <mergeCell ref="I71:I77"/>
    <mergeCell ref="J2:J4"/>
    <mergeCell ref="J13:J15"/>
    <mergeCell ref="J24:J26"/>
    <mergeCell ref="J35:J37"/>
    <mergeCell ref="J46:J48"/>
    <mergeCell ref="J57:J59"/>
    <mergeCell ref="J71:J77"/>
    <mergeCell ref="M2:M4"/>
    <mergeCell ref="M13:M15"/>
    <mergeCell ref="M24:M26"/>
    <mergeCell ref="M35:M37"/>
    <mergeCell ref="M46:M48"/>
    <mergeCell ref="M57:M59"/>
    <mergeCell ref="Q2:Q3"/>
    <mergeCell ref="Q13:Q14"/>
    <mergeCell ref="Q24:Q25"/>
    <mergeCell ref="Q35:Q36"/>
    <mergeCell ref="Q46:Q47"/>
    <mergeCell ref="Q57:Q58"/>
    <mergeCell ref="R2:R3"/>
    <mergeCell ref="R13:R14"/>
    <mergeCell ref="R24:R25"/>
    <mergeCell ref="R35:R36"/>
    <mergeCell ref="R46:R47"/>
    <mergeCell ref="R57:R58"/>
    <mergeCell ref="G2:H4"/>
    <mergeCell ref="K2:L3"/>
    <mergeCell ref="N2:P3"/>
    <mergeCell ref="G13:H15"/>
    <mergeCell ref="K13:L14"/>
    <mergeCell ref="N13:P14"/>
    <mergeCell ref="G24:H26"/>
    <mergeCell ref="K24:L25"/>
    <mergeCell ref="N24:P25"/>
    <mergeCell ref="G35:H37"/>
    <mergeCell ref="K35:L36"/>
    <mergeCell ref="N35:P36"/>
    <mergeCell ref="G46:H48"/>
    <mergeCell ref="K46:L47"/>
    <mergeCell ref="N46:P47"/>
    <mergeCell ref="G57:H59"/>
    <mergeCell ref="K57:L58"/>
    <mergeCell ref="N57:P58"/>
    <mergeCell ref="A71:B77"/>
    <mergeCell ref="G71:H77"/>
    <mergeCell ref="K71:N77"/>
  </mergeCells>
  <pageMargins left="0.75" right="0.75" top="1" bottom="1" header="0.5" footer="0.5"/>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U65"/>
  <sheetViews>
    <sheetView zoomScale="90" zoomScaleNormal="90" workbookViewId="0">
      <selection activeCell="V8" sqref="V8"/>
    </sheetView>
  </sheetViews>
  <sheetFormatPr defaultColWidth="8.55555555555556" defaultRowHeight="14.4"/>
  <cols>
    <col customWidth="true" max="1" min="1" style="3" width="7"/>
    <col customWidth="true" max="2" min="2" style="3" width="8.77777777777778"/>
    <col customWidth="true" max="3" min="3" style="3" width="18.6388888888889"/>
    <col customWidth="true" max="4" min="4" style="3" width="9.88888888888889"/>
    <col customWidth="true" hidden="true" max="5" min="5" style="3" width="12.7777777777778"/>
    <col customWidth="true" hidden="true" max="6" min="6" style="3" width="12.6666666666667"/>
    <col customWidth="true" max="7" min="7" style="3" width="13.5740740740741"/>
    <col customWidth="true" max="8" min="8" style="3" width="11.5555555555556"/>
    <col customWidth="true" max="9" min="9" style="3" width="13.9444444444444"/>
    <col customWidth="true" max="10" min="10" style="4" width="13.2037037037037"/>
    <col customWidth="true" max="11" min="11" style="3" width="12.5833333333333"/>
    <col customWidth="true" max="12" min="12" style="3" width="15.3055555555556"/>
    <col customWidth="true" max="13" min="13" style="4" width="12.5925925925926"/>
    <col customWidth="true" max="14" min="14" style="3" width="10.8611111111111"/>
    <col customWidth="true" max="15" min="15" style="3" width="11.3518518518519"/>
    <col customWidth="true" max="18" min="16" style="3" width="13.0833333333333"/>
    <col max="16384" min="19" style="3" width="8.55555555555556"/>
  </cols>
  <sheetData>
    <row r="1" spans="1:20" s="1" customFormat="true" ht="58.8" customHeight="true">
      <c r="A1" s="5" t="s">
        <v>178</v>
      </c>
      <c r="B1" s="6"/>
      <c r="C1" s="6"/>
      <c r="D1" s="6"/>
      <c r="E1" s="6"/>
      <c r="F1" s="6"/>
      <c r="G1" s="6"/>
      <c r="H1" s="6"/>
      <c r="I1" s="6"/>
      <c r="J1" s="6"/>
      <c r="K1" s="6"/>
      <c r="L1" s="6"/>
      <c r="M1" s="6" t="s">
        <v>179</v>
      </c>
      <c r="N1" s="6"/>
      <c r="O1" s="6"/>
      <c r="P1" s="51" t="s">
        <v>2</v>
      </c>
      <c r="Q1" s="6"/>
      <c r="R1" s="6"/>
      <c r="T1" s="78"/>
    </row>
    <row r="2" spans="1:20" s="1" customFormat="true" ht="10.95" customHeight="true">
      <c r="A2" s="7" t="s">
        <v>3</v>
      </c>
      <c r="B2" s="7" t="s">
        <v>4</v>
      </c>
      <c r="C2" s="7" t="s">
        <v>55</v>
      </c>
      <c r="D2" s="7" t="s">
        <v>6</v>
      </c>
      <c r="E2" s="7" t="s">
        <v>7</v>
      </c>
      <c r="F2" s="7" t="s">
        <v>8</v>
      </c>
      <c r="G2" s="8" t="s">
        <v>9</v>
      </c>
      <c r="H2" s="9"/>
      <c r="I2" s="7" t="s">
        <v>10</v>
      </c>
      <c r="J2" s="7" t="s">
        <v>11</v>
      </c>
      <c r="K2" s="52" t="s">
        <v>12</v>
      </c>
      <c r="L2" s="9"/>
      <c r="M2" s="7" t="s">
        <v>11</v>
      </c>
      <c r="N2" s="52" t="s">
        <v>13</v>
      </c>
      <c r="O2" s="52"/>
      <c r="P2" s="9"/>
      <c r="Q2" s="9" t="s">
        <v>14</v>
      </c>
      <c r="R2" s="9" t="s">
        <v>15</v>
      </c>
      <c r="T2" s="78"/>
    </row>
    <row r="3" spans="1:20" s="1" customFormat="true" ht="16.05" customHeight="true">
      <c r="A3" s="10"/>
      <c r="B3" s="10"/>
      <c r="C3" s="10"/>
      <c r="D3" s="10"/>
      <c r="E3" s="10"/>
      <c r="F3" s="10"/>
      <c r="G3" s="11"/>
      <c r="H3" s="12"/>
      <c r="I3" s="10"/>
      <c r="J3" s="10"/>
      <c r="K3" s="53"/>
      <c r="L3" s="15"/>
      <c r="M3" s="10"/>
      <c r="N3" s="53"/>
      <c r="O3" s="53"/>
      <c r="P3" s="15"/>
      <c r="Q3" s="15"/>
      <c r="R3" s="15"/>
      <c r="T3" s="78"/>
    </row>
    <row r="4" spans="1:20" s="1" customFormat="true" ht="28.95" customHeight="true">
      <c r="A4" s="13"/>
      <c r="B4" s="13"/>
      <c r="C4" s="13"/>
      <c r="D4" s="13"/>
      <c r="E4" s="13"/>
      <c r="F4" s="13"/>
      <c r="G4" s="14"/>
      <c r="H4" s="15"/>
      <c r="I4" s="13"/>
      <c r="J4" s="13"/>
      <c r="K4" s="54" t="s">
        <v>16</v>
      </c>
      <c r="L4" s="55" t="s">
        <v>17</v>
      </c>
      <c r="M4" s="13"/>
      <c r="N4" s="55" t="s">
        <v>18</v>
      </c>
      <c r="O4" s="55" t="s">
        <v>19</v>
      </c>
      <c r="P4" s="55" t="s">
        <v>20</v>
      </c>
      <c r="Q4" s="55" t="s">
        <v>21</v>
      </c>
      <c r="R4" s="55" t="s">
        <v>22</v>
      </c>
      <c r="T4" s="78"/>
    </row>
    <row r="5" spans="1:20" s="2" customFormat="true" customHeight="true">
      <c r="A5" s="16">
        <v>1</v>
      </c>
      <c r="B5" s="17" t="str">
        <f>=DISPIMG("ID_8ED454E7D3BC4825BEDC4BBBBDC804F4",1)</f>
        <v>=DISPIMG("ID_8ED454E7D3BC4825BEDC4BBBBDC804F4",1)</v>
      </c>
      <c r="C5" s="18" t="s">
        <v>180</v>
      </c>
      <c r="D5" s="18" t="s">
        <v>181</v>
      </c>
      <c r="E5" s="19"/>
      <c r="F5" s="19"/>
      <c r="G5" s="20" t="s">
        <v>25</v>
      </c>
      <c r="H5" s="21" t="str">
        <f>=DISPIMG("ID_40478DD90BF84788BC25AF9A35173D5A",1)</f>
        <v>=DISPIMG("ID_40478DD90BF84788BC25AF9A35173D5A",1)</v>
      </c>
      <c r="I5" s="56">
        <v>15.71</v>
      </c>
      <c r="J5" s="57" t="s">
        <v>26</v>
      </c>
      <c r="K5" s="23">
        <v>7</v>
      </c>
      <c r="L5" s="58">
        <f>I5*K5</f>
        <v>109.97</v>
      </c>
      <c r="M5" s="57" t="s">
        <v>26</v>
      </c>
      <c r="N5" s="23">
        <v>0</v>
      </c>
      <c r="O5" s="23">
        <v>7</v>
      </c>
      <c r="P5" s="23">
        <f t="shared" ref="P5:P10" si="0">MAX(0,K5-O5)</f>
        <v>0</v>
      </c>
      <c r="Q5" s="23">
        <v>3</v>
      </c>
      <c r="R5" s="23"/>
      <c r="T5" s="79"/>
    </row>
    <row r="6" spans="1:20" s="2" customFormat="true">
      <c r="A6" s="16"/>
      <c r="B6" s="16"/>
      <c r="C6" s="22"/>
      <c r="D6" s="22"/>
      <c r="E6" s="23"/>
      <c r="F6" s="23"/>
      <c r="G6" s="20"/>
      <c r="H6" s="21"/>
      <c r="I6" s="59"/>
      <c r="J6" s="57" t="s">
        <v>27</v>
      </c>
      <c r="K6" s="23">
        <v>106</v>
      </c>
      <c r="L6" s="58">
        <f>I5*K6</f>
        <v>1665.26</v>
      </c>
      <c r="M6" s="57" t="s">
        <v>27</v>
      </c>
      <c r="N6" s="23">
        <v>1</v>
      </c>
      <c r="O6" s="23">
        <v>23</v>
      </c>
      <c r="P6" s="23">
        <f t="shared" si="0"/>
        <v>83</v>
      </c>
      <c r="Q6" s="23">
        <v>2</v>
      </c>
      <c r="R6" s="23"/>
      <c r="T6" s="79"/>
    </row>
    <row r="7" spans="1:20" s="2" customFormat="true">
      <c r="A7" s="16"/>
      <c r="B7" s="16"/>
      <c r="C7" s="22"/>
      <c r="D7" s="22"/>
      <c r="E7" s="23"/>
      <c r="F7" s="23"/>
      <c r="G7" s="20"/>
      <c r="H7" s="21"/>
      <c r="I7" s="59"/>
      <c r="J7" s="57" t="s">
        <v>28</v>
      </c>
      <c r="K7" s="23">
        <v>126</v>
      </c>
      <c r="L7" s="58">
        <f>I5*K7</f>
        <v>1979.46</v>
      </c>
      <c r="M7" s="57" t="s">
        <v>28</v>
      </c>
      <c r="N7" s="23">
        <v>1</v>
      </c>
      <c r="O7" s="23">
        <v>19</v>
      </c>
      <c r="P7" s="23">
        <f t="shared" si="0"/>
        <v>107</v>
      </c>
      <c r="Q7" s="23">
        <v>1</v>
      </c>
      <c r="R7" s="23"/>
      <c r="T7" s="79"/>
    </row>
    <row r="8" spans="1:20" s="2" customFormat="true">
      <c r="A8" s="16"/>
      <c r="B8" s="16"/>
      <c r="C8" s="22"/>
      <c r="D8" s="22"/>
      <c r="E8" s="23"/>
      <c r="F8" s="23"/>
      <c r="G8" s="20"/>
      <c r="H8" s="21"/>
      <c r="I8" s="59"/>
      <c r="J8" s="57" t="s">
        <v>29</v>
      </c>
      <c r="K8" s="23">
        <v>102</v>
      </c>
      <c r="L8" s="58">
        <f>I5*K8</f>
        <v>1602.42</v>
      </c>
      <c r="M8" s="57" t="s">
        <v>29</v>
      </c>
      <c r="N8" s="23">
        <v>0</v>
      </c>
      <c r="O8" s="23">
        <v>8</v>
      </c>
      <c r="P8" s="23">
        <f t="shared" si="0"/>
        <v>94</v>
      </c>
      <c r="Q8" s="23">
        <v>1</v>
      </c>
      <c r="R8" s="23"/>
      <c r="T8" s="79"/>
    </row>
    <row r="9" spans="1:20" s="2" customFormat="true">
      <c r="A9" s="16"/>
      <c r="B9" s="16"/>
      <c r="C9" s="22"/>
      <c r="D9" s="22"/>
      <c r="E9" s="23"/>
      <c r="F9" s="23"/>
      <c r="G9" s="20"/>
      <c r="H9" s="21"/>
      <c r="I9" s="59"/>
      <c r="J9" s="57" t="s">
        <v>30</v>
      </c>
      <c r="K9" s="23">
        <v>14</v>
      </c>
      <c r="L9" s="58">
        <f>I5*K9</f>
        <v>219.94</v>
      </c>
      <c r="M9" s="57" t="s">
        <v>30</v>
      </c>
      <c r="N9" s="23">
        <v>0</v>
      </c>
      <c r="O9" s="23">
        <v>7</v>
      </c>
      <c r="P9" s="23">
        <f t="shared" si="0"/>
        <v>7</v>
      </c>
      <c r="Q9" s="23">
        <v>0</v>
      </c>
      <c r="R9" s="23"/>
      <c r="T9" s="79"/>
    </row>
    <row r="10" spans="1:20" s="2" customFormat="true">
      <c r="A10" s="16"/>
      <c r="B10" s="16"/>
      <c r="C10" s="22"/>
      <c r="D10" s="22"/>
      <c r="E10" s="23"/>
      <c r="F10" s="23"/>
      <c r="G10" s="20"/>
      <c r="H10" s="21"/>
      <c r="I10" s="60"/>
      <c r="J10" s="23" t="s">
        <v>31</v>
      </c>
      <c r="K10" s="23">
        <v>8</v>
      </c>
      <c r="L10" s="58">
        <f>I5*K10</f>
        <v>125.68</v>
      </c>
      <c r="M10" s="23" t="s">
        <v>31</v>
      </c>
      <c r="N10" s="23">
        <v>0</v>
      </c>
      <c r="O10" s="23">
        <v>4</v>
      </c>
      <c r="P10" s="23">
        <f t="shared" si="0"/>
        <v>4</v>
      </c>
      <c r="Q10" s="23">
        <v>0</v>
      </c>
      <c r="R10" s="23"/>
      <c r="T10" s="79"/>
    </row>
    <row r="11" spans="1:20" s="2" customFormat="true">
      <c r="A11" s="24"/>
      <c r="B11" s="24"/>
      <c r="C11" s="25"/>
      <c r="D11" s="25"/>
      <c r="E11" s="23"/>
      <c r="F11" s="23"/>
      <c r="G11" s="26"/>
      <c r="H11" s="27"/>
      <c r="J11" s="61" t="s">
        <v>32</v>
      </c>
      <c r="K11" s="62">
        <f t="shared" ref="K11:N11" si="1">SUM(K5:K10)</f>
        <v>363</v>
      </c>
      <c r="L11" s="63">
        <f t="shared" si="1"/>
        <v>5702.73</v>
      </c>
      <c r="M11" s="61" t="s">
        <v>32</v>
      </c>
      <c r="N11" s="62">
        <f t="shared" si="1"/>
        <v>2</v>
      </c>
      <c r="O11" s="62" cm="1">
        <f t="array" ref="O11">SUMPRODUCT(--(O5:O10))</f>
        <v>68</v>
      </c>
      <c r="P11" s="64" cm="1">
        <f t="array" ref="P11">SUMPRODUCT(--(P5:P10))</f>
        <v>295</v>
      </c>
      <c r="Q11" s="64">
        <f>SUM(Q5:Q10)</f>
        <v>7</v>
      </c>
      <c r="R11" s="64">
        <f>SUM(R5:R10)</f>
        <v>0</v>
      </c>
      <c r="T11" s="79"/>
    </row>
    <row r="12" spans="1:20" s="2" customFormat="true" ht="17.4" customHeight="true">
      <c r="A12" s="28"/>
      <c r="B12" s="29"/>
      <c r="C12" s="29"/>
      <c r="D12" s="29"/>
      <c r="E12" s="29"/>
      <c r="F12" s="29"/>
      <c r="G12" s="29"/>
      <c r="H12" s="29"/>
      <c r="I12" s="29"/>
      <c r="J12" s="29"/>
      <c r="K12" s="29"/>
      <c r="L12" s="29"/>
      <c r="M12" s="29"/>
      <c r="N12" s="29"/>
      <c r="O12" s="29"/>
      <c r="P12" s="29"/>
      <c r="Q12" s="29"/>
      <c r="R12" s="29"/>
      <c r="T12" s="79"/>
    </row>
    <row r="13" spans="1:21" s="1" customFormat="true" ht="10.95" customHeight="true">
      <c r="A13" s="7" t="s">
        <v>3</v>
      </c>
      <c r="B13" s="30" t="s">
        <v>4</v>
      </c>
      <c r="C13" s="30" t="s">
        <v>55</v>
      </c>
      <c r="D13" s="30" t="s">
        <v>6</v>
      </c>
      <c r="E13" s="30" t="s">
        <v>7</v>
      </c>
      <c r="F13" s="30" t="s">
        <v>8</v>
      </c>
      <c r="G13" s="30" t="s">
        <v>9</v>
      </c>
      <c r="H13" s="30"/>
      <c r="I13" s="7" t="s">
        <v>10</v>
      </c>
      <c r="J13" s="7" t="s">
        <v>11</v>
      </c>
      <c r="K13" s="8" t="s">
        <v>12</v>
      </c>
      <c r="L13" s="9"/>
      <c r="M13" s="7" t="s">
        <v>11</v>
      </c>
      <c r="N13" s="52" t="s">
        <v>13</v>
      </c>
      <c r="O13" s="52"/>
      <c r="P13" s="9"/>
      <c r="Q13" s="9" t="s">
        <v>14</v>
      </c>
      <c r="R13" s="9" t="s">
        <v>15</v>
      </c>
      <c r="T13" s="78"/>
      <c r="U13" s="2"/>
    </row>
    <row r="14" spans="1:20" s="1" customFormat="true" ht="16.05" customHeight="true">
      <c r="A14" s="10"/>
      <c r="B14" s="30"/>
      <c r="C14" s="30"/>
      <c r="D14" s="30"/>
      <c r="E14" s="30"/>
      <c r="F14" s="30"/>
      <c r="G14" s="30"/>
      <c r="H14" s="30"/>
      <c r="I14" s="10"/>
      <c r="J14" s="10"/>
      <c r="K14" s="14"/>
      <c r="L14" s="15"/>
      <c r="M14" s="10"/>
      <c r="N14" s="53"/>
      <c r="O14" s="53"/>
      <c r="P14" s="15"/>
      <c r="Q14" s="15"/>
      <c r="R14" s="15"/>
      <c r="T14" s="78"/>
    </row>
    <row r="15" spans="1:20" s="1" customFormat="true" ht="28.95" customHeight="true">
      <c r="A15" s="13"/>
      <c r="B15" s="30"/>
      <c r="C15" s="30"/>
      <c r="D15" s="30"/>
      <c r="E15" s="30"/>
      <c r="F15" s="30"/>
      <c r="G15" s="30"/>
      <c r="H15" s="30"/>
      <c r="I15" s="13"/>
      <c r="J15" s="13"/>
      <c r="K15" s="54" t="s">
        <v>16</v>
      </c>
      <c r="L15" s="55" t="s">
        <v>17</v>
      </c>
      <c r="M15" s="13"/>
      <c r="N15" s="55" t="s">
        <v>18</v>
      </c>
      <c r="O15" s="55" t="s">
        <v>19</v>
      </c>
      <c r="P15" s="55" t="s">
        <v>20</v>
      </c>
      <c r="Q15" s="55" t="s">
        <v>21</v>
      </c>
      <c r="R15" s="55" t="s">
        <v>22</v>
      </c>
      <c r="T15" s="78"/>
    </row>
    <row r="16" spans="1:20" s="2" customFormat="true" ht="13.95" customHeight="true">
      <c r="A16" s="16">
        <v>2</v>
      </c>
      <c r="B16" s="17" t="str">
        <f>=DISPIMG("ID_EEBEF75F856B4DD0AD7D655D2C84BF42",1)</f>
        <v>=DISPIMG("ID_EEBEF75F856B4DD0AD7D655D2C84BF42",1)</v>
      </c>
      <c r="C16" s="18" t="s">
        <v>182</v>
      </c>
      <c r="D16" s="18" t="s">
        <v>181</v>
      </c>
      <c r="E16" s="19"/>
      <c r="F16" s="19"/>
      <c r="G16" s="20" t="s">
        <v>34</v>
      </c>
      <c r="H16" s="21" t="str">
        <f>=DISPIMG("ID_0CFE76F291F3445DBB51FE6BA7063D21",1)</f>
        <v>=DISPIMG("ID_0CFE76F291F3445DBB51FE6BA7063D21",1)</v>
      </c>
      <c r="I16" s="56">
        <v>15.71</v>
      </c>
      <c r="J16" s="57" t="s">
        <v>26</v>
      </c>
      <c r="K16" s="23">
        <v>9</v>
      </c>
      <c r="L16" s="58">
        <f>I16*K16</f>
        <v>141.39</v>
      </c>
      <c r="M16" s="57" t="s">
        <v>26</v>
      </c>
      <c r="N16" s="23">
        <v>0</v>
      </c>
      <c r="O16" s="23">
        <v>10</v>
      </c>
      <c r="P16" s="23">
        <f t="shared" ref="P16:P21" si="2">MAX(0,K16-O16)</f>
        <v>0</v>
      </c>
      <c r="Q16" s="23">
        <v>2</v>
      </c>
      <c r="R16" s="23"/>
      <c r="T16" s="79"/>
    </row>
    <row r="17" spans="1:20" s="2" customFormat="true">
      <c r="A17" s="16"/>
      <c r="B17" s="16"/>
      <c r="C17" s="22"/>
      <c r="D17" s="22"/>
      <c r="E17" s="23"/>
      <c r="F17" s="23"/>
      <c r="G17" s="20"/>
      <c r="H17" s="21"/>
      <c r="I17" s="59"/>
      <c r="J17" s="57" t="s">
        <v>27</v>
      </c>
      <c r="K17" s="23">
        <v>105</v>
      </c>
      <c r="L17" s="58">
        <f>I16*K17</f>
        <v>1649.55</v>
      </c>
      <c r="M17" s="57" t="s">
        <v>27</v>
      </c>
      <c r="N17" s="23">
        <v>0</v>
      </c>
      <c r="O17" s="23">
        <v>33</v>
      </c>
      <c r="P17" s="23">
        <f t="shared" si="2"/>
        <v>72</v>
      </c>
      <c r="Q17" s="23">
        <v>6</v>
      </c>
      <c r="R17" s="23"/>
      <c r="T17" s="79"/>
    </row>
    <row r="18" spans="1:20" s="2" customFormat="true">
      <c r="A18" s="16"/>
      <c r="B18" s="16"/>
      <c r="C18" s="22"/>
      <c r="D18" s="22"/>
      <c r="E18" s="23"/>
      <c r="F18" s="23"/>
      <c r="G18" s="20"/>
      <c r="H18" s="21"/>
      <c r="I18" s="59"/>
      <c r="J18" s="57" t="s">
        <v>28</v>
      </c>
      <c r="K18" s="23">
        <v>207</v>
      </c>
      <c r="L18" s="58">
        <f>I16*K18</f>
        <v>3251.97</v>
      </c>
      <c r="M18" s="57" t="s">
        <v>28</v>
      </c>
      <c r="N18" s="23">
        <v>0</v>
      </c>
      <c r="O18" s="23">
        <v>25</v>
      </c>
      <c r="P18" s="23">
        <f t="shared" si="2"/>
        <v>182</v>
      </c>
      <c r="Q18" s="23">
        <v>3</v>
      </c>
      <c r="R18" s="23"/>
      <c r="T18" s="79"/>
    </row>
    <row r="19" spans="1:20" s="2" customFormat="true">
      <c r="A19" s="16"/>
      <c r="B19" s="16"/>
      <c r="C19" s="22"/>
      <c r="D19" s="22"/>
      <c r="E19" s="23"/>
      <c r="F19" s="23"/>
      <c r="G19" s="20"/>
      <c r="H19" s="21"/>
      <c r="I19" s="59"/>
      <c r="J19" s="57" t="s">
        <v>29</v>
      </c>
      <c r="K19" s="23">
        <v>184</v>
      </c>
      <c r="L19" s="58">
        <f>I16*K19</f>
        <v>2890.64</v>
      </c>
      <c r="M19" s="57" t="s">
        <v>29</v>
      </c>
      <c r="N19" s="23">
        <v>1</v>
      </c>
      <c r="O19" s="23">
        <v>20</v>
      </c>
      <c r="P19" s="23">
        <f t="shared" si="2"/>
        <v>164</v>
      </c>
      <c r="Q19" s="23">
        <v>2</v>
      </c>
      <c r="R19" s="23"/>
      <c r="T19" s="79"/>
    </row>
    <row r="20" spans="1:20" s="2" customFormat="true">
      <c r="A20" s="16"/>
      <c r="B20" s="16"/>
      <c r="C20" s="22"/>
      <c r="D20" s="22"/>
      <c r="E20" s="23"/>
      <c r="F20" s="23"/>
      <c r="G20" s="20"/>
      <c r="H20" s="21"/>
      <c r="I20" s="59"/>
      <c r="J20" s="57" t="s">
        <v>30</v>
      </c>
      <c r="K20" s="23">
        <v>98</v>
      </c>
      <c r="L20" s="58">
        <f>I16*K20</f>
        <v>1539.58</v>
      </c>
      <c r="M20" s="57" t="s">
        <v>30</v>
      </c>
      <c r="N20" s="23">
        <v>0</v>
      </c>
      <c r="O20" s="23">
        <v>12</v>
      </c>
      <c r="P20" s="23">
        <f t="shared" si="2"/>
        <v>86</v>
      </c>
      <c r="Q20" s="23">
        <v>2</v>
      </c>
      <c r="R20" s="23"/>
      <c r="T20" s="79"/>
    </row>
    <row r="21" spans="1:20" s="2" customFormat="true">
      <c r="A21" s="16"/>
      <c r="B21" s="16"/>
      <c r="C21" s="22"/>
      <c r="D21" s="22"/>
      <c r="E21" s="23"/>
      <c r="F21" s="23"/>
      <c r="G21" s="20"/>
      <c r="H21" s="21"/>
      <c r="I21" s="60"/>
      <c r="J21" s="23" t="s">
        <v>31</v>
      </c>
      <c r="K21" s="23">
        <v>9</v>
      </c>
      <c r="L21" s="58">
        <f>I16*K21</f>
        <v>141.39</v>
      </c>
      <c r="M21" s="23" t="s">
        <v>31</v>
      </c>
      <c r="N21" s="23">
        <v>0</v>
      </c>
      <c r="O21" s="23">
        <v>14</v>
      </c>
      <c r="P21" s="23">
        <f t="shared" si="2"/>
        <v>0</v>
      </c>
      <c r="Q21" s="23">
        <v>5</v>
      </c>
      <c r="R21" s="23"/>
      <c r="T21" s="79"/>
    </row>
    <row r="22" spans="1:20" s="2" customFormat="true">
      <c r="A22" s="24"/>
      <c r="B22" s="24"/>
      <c r="C22" s="25"/>
      <c r="D22" s="25"/>
      <c r="E22" s="23"/>
      <c r="F22" s="23"/>
      <c r="G22" s="26"/>
      <c r="H22" s="27"/>
      <c r="I22" s="62"/>
      <c r="J22" s="61" t="s">
        <v>32</v>
      </c>
      <c r="K22" s="62">
        <f t="shared" ref="K22:N22" si="3">SUM(K16:K21)</f>
        <v>612</v>
      </c>
      <c r="L22" s="63">
        <f t="shared" si="3"/>
        <v>9614.52</v>
      </c>
      <c r="M22" s="61" t="s">
        <v>32</v>
      </c>
      <c r="N22" s="62">
        <f t="shared" si="3"/>
        <v>1</v>
      </c>
      <c r="O22" s="62" cm="1">
        <f t="array" ref="O22">SUMPRODUCT(--(O16:O21))</f>
        <v>114</v>
      </c>
      <c r="P22" s="64" cm="1">
        <f t="array" ref="P22">SUMPRODUCT(--(P16:P21))</f>
        <v>504</v>
      </c>
      <c r="Q22" s="64">
        <f>SUM(Q16:Q21)</f>
        <v>20</v>
      </c>
      <c r="R22" s="64">
        <f>SUM(R16:R21)</f>
        <v>0</v>
      </c>
      <c r="T22" s="79"/>
    </row>
    <row r="23" spans="1:20" s="2" customFormat="true" ht="17.4" customHeight="true">
      <c r="A23" s="28"/>
      <c r="B23" s="29"/>
      <c r="C23" s="29"/>
      <c r="D23" s="29"/>
      <c r="E23" s="29"/>
      <c r="F23" s="29"/>
      <c r="G23" s="29"/>
      <c r="H23" s="29"/>
      <c r="I23" s="29"/>
      <c r="J23" s="29"/>
      <c r="K23" s="29"/>
      <c r="L23" s="29"/>
      <c r="M23" s="29"/>
      <c r="N23" s="29"/>
      <c r="O23" s="29"/>
      <c r="P23" s="29"/>
      <c r="Q23" s="65"/>
      <c r="R23" s="65"/>
      <c r="T23" s="79"/>
    </row>
    <row r="24" spans="1:20" s="1" customFormat="true" ht="10.95" customHeight="true">
      <c r="A24" s="7" t="s">
        <v>3</v>
      </c>
      <c r="B24" s="30" t="s">
        <v>4</v>
      </c>
      <c r="C24" s="30" t="s">
        <v>55</v>
      </c>
      <c r="D24" s="30" t="s">
        <v>6</v>
      </c>
      <c r="E24" s="30" t="s">
        <v>7</v>
      </c>
      <c r="F24" s="30" t="s">
        <v>8</v>
      </c>
      <c r="G24" s="30" t="s">
        <v>9</v>
      </c>
      <c r="H24" s="30"/>
      <c r="I24" s="7" t="s">
        <v>10</v>
      </c>
      <c r="J24" s="7" t="s">
        <v>11</v>
      </c>
      <c r="K24" s="8" t="s">
        <v>12</v>
      </c>
      <c r="L24" s="9"/>
      <c r="M24" s="7" t="s">
        <v>11</v>
      </c>
      <c r="N24" s="52" t="s">
        <v>13</v>
      </c>
      <c r="O24" s="52"/>
      <c r="P24" s="9"/>
      <c r="Q24" s="9" t="s">
        <v>14</v>
      </c>
      <c r="R24" s="9" t="s">
        <v>15</v>
      </c>
      <c r="T24" s="78"/>
    </row>
    <row r="25" spans="1:20" s="1" customFormat="true" ht="16.05" customHeight="true">
      <c r="A25" s="10"/>
      <c r="B25" s="30"/>
      <c r="C25" s="30"/>
      <c r="D25" s="30"/>
      <c r="E25" s="30"/>
      <c r="F25" s="30"/>
      <c r="G25" s="30"/>
      <c r="H25" s="30"/>
      <c r="I25" s="10"/>
      <c r="J25" s="10"/>
      <c r="K25" s="14"/>
      <c r="L25" s="15"/>
      <c r="M25" s="10"/>
      <c r="N25" s="53"/>
      <c r="O25" s="53"/>
      <c r="P25" s="15"/>
      <c r="Q25" s="15"/>
      <c r="R25" s="15"/>
      <c r="T25" s="78"/>
    </row>
    <row r="26" spans="1:20" s="1" customFormat="true" ht="28.95" customHeight="true">
      <c r="A26" s="13"/>
      <c r="B26" s="30"/>
      <c r="C26" s="30"/>
      <c r="D26" s="30"/>
      <c r="E26" s="30"/>
      <c r="F26" s="30"/>
      <c r="G26" s="30"/>
      <c r="H26" s="30"/>
      <c r="I26" s="13"/>
      <c r="J26" s="13"/>
      <c r="K26" s="54" t="s">
        <v>16</v>
      </c>
      <c r="L26" s="55" t="s">
        <v>17</v>
      </c>
      <c r="M26" s="13"/>
      <c r="N26" s="55" t="s">
        <v>18</v>
      </c>
      <c r="O26" s="55" t="s">
        <v>19</v>
      </c>
      <c r="P26" s="55" t="s">
        <v>20</v>
      </c>
      <c r="Q26" s="55" t="s">
        <v>21</v>
      </c>
      <c r="R26" s="55" t="s">
        <v>22</v>
      </c>
      <c r="T26" s="78"/>
    </row>
    <row r="27" spans="1:20" s="2" customFormat="true" ht="13.95" customHeight="true">
      <c r="A27" s="16">
        <v>3</v>
      </c>
      <c r="B27" s="17" t="str">
        <f>=DISPIMG("ID_77D0E282C36B4CC892382579E2676E4B",1)</f>
        <v>=DISPIMG("ID_77D0E282C36B4CC892382579E2676E4B",1)</v>
      </c>
      <c r="C27" s="18" t="s">
        <v>183</v>
      </c>
      <c r="D27" s="18" t="s">
        <v>181</v>
      </c>
      <c r="E27" s="19"/>
      <c r="F27" s="19"/>
      <c r="G27" s="20" t="s">
        <v>36</v>
      </c>
      <c r="H27" s="21" t="str">
        <f>=DISPIMG("ID_0DB94127D942496B82DBEA237E42EAF7",1)</f>
        <v>=DISPIMG("ID_0DB94127D942496B82DBEA237E42EAF7",1)</v>
      </c>
      <c r="I27" s="56">
        <v>15.71</v>
      </c>
      <c r="J27" s="57" t="s">
        <v>26</v>
      </c>
      <c r="K27" s="23">
        <v>2</v>
      </c>
      <c r="L27" s="58">
        <f>I27*K27</f>
        <v>31.42</v>
      </c>
      <c r="M27" s="57" t="s">
        <v>26</v>
      </c>
      <c r="N27" s="23">
        <v>0</v>
      </c>
      <c r="O27" s="23">
        <v>4</v>
      </c>
      <c r="P27" s="23">
        <f t="shared" ref="P27:P32" si="4">MAX(0,K27-O27)</f>
        <v>0</v>
      </c>
      <c r="Q27" s="23">
        <v>3</v>
      </c>
      <c r="R27" s="23"/>
      <c r="T27" s="79"/>
    </row>
    <row r="28" spans="1:20" s="2" customFormat="true">
      <c r="A28" s="16"/>
      <c r="B28" s="16"/>
      <c r="C28" s="22"/>
      <c r="D28" s="22"/>
      <c r="E28" s="23"/>
      <c r="F28" s="23"/>
      <c r="G28" s="20"/>
      <c r="H28" s="21"/>
      <c r="I28" s="59"/>
      <c r="J28" s="57" t="s">
        <v>27</v>
      </c>
      <c r="K28" s="23">
        <v>19</v>
      </c>
      <c r="L28" s="58">
        <f>I27*K28</f>
        <v>298.49</v>
      </c>
      <c r="M28" s="57" t="s">
        <v>27</v>
      </c>
      <c r="N28" s="23">
        <v>0</v>
      </c>
      <c r="O28" s="23">
        <v>20</v>
      </c>
      <c r="P28" s="23">
        <f t="shared" si="4"/>
        <v>0</v>
      </c>
      <c r="Q28" s="23">
        <v>2</v>
      </c>
      <c r="R28" s="23"/>
      <c r="T28" s="79"/>
    </row>
    <row r="29" spans="1:20" s="2" customFormat="true">
      <c r="A29" s="16"/>
      <c r="B29" s="16"/>
      <c r="C29" s="22"/>
      <c r="D29" s="22"/>
      <c r="E29" s="23"/>
      <c r="F29" s="23"/>
      <c r="G29" s="20"/>
      <c r="H29" s="21"/>
      <c r="I29" s="59"/>
      <c r="J29" s="57" t="s">
        <v>28</v>
      </c>
      <c r="K29" s="23">
        <v>35</v>
      </c>
      <c r="L29" s="58">
        <f>I27*K29</f>
        <v>549.85</v>
      </c>
      <c r="M29" s="57" t="s">
        <v>28</v>
      </c>
      <c r="N29" s="23">
        <v>0</v>
      </c>
      <c r="O29" s="23">
        <v>34</v>
      </c>
      <c r="P29" s="23">
        <f t="shared" si="4"/>
        <v>1</v>
      </c>
      <c r="Q29" s="23">
        <v>3</v>
      </c>
      <c r="R29" s="23"/>
      <c r="T29" s="79"/>
    </row>
    <row r="30" spans="1:20" s="2" customFormat="true">
      <c r="A30" s="16"/>
      <c r="B30" s="16"/>
      <c r="C30" s="22"/>
      <c r="D30" s="22"/>
      <c r="E30" s="23"/>
      <c r="F30" s="23"/>
      <c r="G30" s="20"/>
      <c r="H30" s="21"/>
      <c r="I30" s="59"/>
      <c r="J30" s="57" t="s">
        <v>29</v>
      </c>
      <c r="K30" s="23">
        <v>19</v>
      </c>
      <c r="L30" s="58">
        <f>I27*K30</f>
        <v>298.49</v>
      </c>
      <c r="M30" s="57" t="s">
        <v>29</v>
      </c>
      <c r="N30" s="23">
        <v>0</v>
      </c>
      <c r="O30" s="23">
        <v>22</v>
      </c>
      <c r="P30" s="23">
        <f t="shared" si="4"/>
        <v>0</v>
      </c>
      <c r="Q30" s="23">
        <v>4</v>
      </c>
      <c r="R30" s="23"/>
      <c r="T30" s="79"/>
    </row>
    <row r="31" spans="1:20" s="2" customFormat="true">
      <c r="A31" s="16"/>
      <c r="B31" s="16"/>
      <c r="C31" s="22"/>
      <c r="D31" s="22"/>
      <c r="E31" s="23"/>
      <c r="F31" s="23"/>
      <c r="G31" s="20"/>
      <c r="H31" s="21"/>
      <c r="I31" s="59"/>
      <c r="J31" s="57" t="s">
        <v>30</v>
      </c>
      <c r="K31" s="23">
        <v>8</v>
      </c>
      <c r="L31" s="58">
        <f>I27*K31</f>
        <v>125.68</v>
      </c>
      <c r="M31" s="57" t="s">
        <v>30</v>
      </c>
      <c r="N31" s="23">
        <v>0</v>
      </c>
      <c r="O31" s="23">
        <v>5</v>
      </c>
      <c r="P31" s="23">
        <f t="shared" si="4"/>
        <v>3</v>
      </c>
      <c r="Q31" s="23">
        <v>0</v>
      </c>
      <c r="R31" s="23"/>
      <c r="T31" s="79"/>
    </row>
    <row r="32" spans="1:20" s="2" customFormat="true">
      <c r="A32" s="16"/>
      <c r="B32" s="16"/>
      <c r="C32" s="22"/>
      <c r="D32" s="22"/>
      <c r="E32" s="23"/>
      <c r="F32" s="23"/>
      <c r="G32" s="20"/>
      <c r="H32" s="21"/>
      <c r="I32" s="60"/>
      <c r="J32" s="23" t="s">
        <v>31</v>
      </c>
      <c r="K32" s="23">
        <v>3</v>
      </c>
      <c r="L32" s="58">
        <f>I27*K32</f>
        <v>47.13</v>
      </c>
      <c r="M32" s="23" t="s">
        <v>31</v>
      </c>
      <c r="N32" s="23">
        <v>0</v>
      </c>
      <c r="O32" s="23">
        <v>4</v>
      </c>
      <c r="P32" s="23">
        <f t="shared" si="4"/>
        <v>0</v>
      </c>
      <c r="Q32" s="23">
        <v>1</v>
      </c>
      <c r="R32" s="23"/>
      <c r="T32" s="79"/>
    </row>
    <row r="33" spans="1:20" s="2" customFormat="true">
      <c r="A33" s="24"/>
      <c r="B33" s="24"/>
      <c r="C33" s="25"/>
      <c r="D33" s="25"/>
      <c r="E33" s="23"/>
      <c r="F33" s="23"/>
      <c r="G33" s="26"/>
      <c r="H33" s="27"/>
      <c r="I33" s="62"/>
      <c r="J33" s="61" t="s">
        <v>32</v>
      </c>
      <c r="K33" s="62">
        <f t="shared" ref="K33:N33" si="5">SUM(K27:K32)</f>
        <v>86</v>
      </c>
      <c r="L33" s="63">
        <f t="shared" si="5"/>
        <v>1351.06</v>
      </c>
      <c r="M33" s="61" t="s">
        <v>32</v>
      </c>
      <c r="N33" s="62">
        <f t="shared" si="5"/>
        <v>0</v>
      </c>
      <c r="O33" s="62" cm="1">
        <f t="array" ref="O33">SUMPRODUCT(--(O27:O32))</f>
        <v>89</v>
      </c>
      <c r="P33" s="64" cm="1">
        <f t="array" ref="P33">SUMPRODUCT(--(P27:P32))</f>
        <v>4</v>
      </c>
      <c r="Q33" s="64">
        <f>SUM(Q27:Q32)</f>
        <v>13</v>
      </c>
      <c r="R33" s="64">
        <f>SUM(R27:R32)</f>
        <v>0</v>
      </c>
      <c r="T33" s="79"/>
    </row>
    <row r="34" spans="1:20" s="2" customFormat="true" ht="17.4" customHeight="true">
      <c r="A34" s="28"/>
      <c r="B34" s="29"/>
      <c r="C34" s="29"/>
      <c r="D34" s="29"/>
      <c r="E34" s="29"/>
      <c r="F34" s="29"/>
      <c r="G34" s="29"/>
      <c r="H34" s="29"/>
      <c r="I34" s="29"/>
      <c r="J34" s="29"/>
      <c r="K34" s="29"/>
      <c r="L34" s="29"/>
      <c r="M34" s="29"/>
      <c r="N34" s="29"/>
      <c r="O34" s="29"/>
      <c r="P34" s="29"/>
      <c r="Q34" s="29"/>
      <c r="R34" s="29"/>
      <c r="T34" s="79"/>
    </row>
    <row r="35" spans="1:20" s="1" customFormat="true" ht="10.95" customHeight="true">
      <c r="A35" s="7" t="s">
        <v>3</v>
      </c>
      <c r="B35" s="30" t="s">
        <v>4</v>
      </c>
      <c r="C35" s="30" t="s">
        <v>55</v>
      </c>
      <c r="D35" s="30" t="s">
        <v>6</v>
      </c>
      <c r="E35" s="30" t="s">
        <v>7</v>
      </c>
      <c r="F35" s="30" t="s">
        <v>8</v>
      </c>
      <c r="G35" s="30" t="s">
        <v>9</v>
      </c>
      <c r="H35" s="30"/>
      <c r="I35" s="7" t="s">
        <v>10</v>
      </c>
      <c r="J35" s="7" t="s">
        <v>11</v>
      </c>
      <c r="K35" s="8" t="s">
        <v>12</v>
      </c>
      <c r="L35" s="9"/>
      <c r="M35" s="7" t="s">
        <v>11</v>
      </c>
      <c r="N35" s="52" t="s">
        <v>13</v>
      </c>
      <c r="O35" s="52"/>
      <c r="P35" s="9"/>
      <c r="Q35" s="9" t="s">
        <v>14</v>
      </c>
      <c r="R35" s="9" t="s">
        <v>15</v>
      </c>
      <c r="T35" s="78"/>
    </row>
    <row r="36" spans="1:20" s="1" customFormat="true" ht="16.05" customHeight="true">
      <c r="A36" s="10"/>
      <c r="B36" s="30"/>
      <c r="C36" s="30"/>
      <c r="D36" s="30"/>
      <c r="E36" s="30"/>
      <c r="F36" s="30"/>
      <c r="G36" s="30"/>
      <c r="H36" s="30"/>
      <c r="I36" s="10"/>
      <c r="J36" s="10"/>
      <c r="K36" s="14"/>
      <c r="L36" s="15"/>
      <c r="M36" s="10"/>
      <c r="N36" s="53"/>
      <c r="O36" s="53"/>
      <c r="P36" s="15"/>
      <c r="Q36" s="15"/>
      <c r="R36" s="15"/>
      <c r="T36" s="78"/>
    </row>
    <row r="37" spans="1:20" s="1" customFormat="true" ht="28.95" customHeight="true">
      <c r="A37" s="13"/>
      <c r="B37" s="30"/>
      <c r="C37" s="30"/>
      <c r="D37" s="30"/>
      <c r="E37" s="30"/>
      <c r="F37" s="30"/>
      <c r="G37" s="30"/>
      <c r="H37" s="30"/>
      <c r="I37" s="13"/>
      <c r="J37" s="13"/>
      <c r="K37" s="54" t="s">
        <v>16</v>
      </c>
      <c r="L37" s="55" t="s">
        <v>17</v>
      </c>
      <c r="M37" s="13"/>
      <c r="N37" s="55" t="s">
        <v>18</v>
      </c>
      <c r="O37" s="55" t="s">
        <v>19</v>
      </c>
      <c r="P37" s="55" t="s">
        <v>20</v>
      </c>
      <c r="Q37" s="55" t="s">
        <v>21</v>
      </c>
      <c r="R37" s="55" t="s">
        <v>22</v>
      </c>
      <c r="T37" s="78"/>
    </row>
    <row r="38" spans="1:20" s="2" customFormat="true" ht="13.95" customHeight="true">
      <c r="A38" s="16">
        <v>4</v>
      </c>
      <c r="B38" s="17" t="str">
        <f>=DISPIMG("ID_E4658F0FE47E4F8E8FA897B310677616",1)</f>
        <v>=DISPIMG("ID_E4658F0FE47E4F8E8FA897B310677616",1)</v>
      </c>
      <c r="C38" s="18" t="s">
        <v>184</v>
      </c>
      <c r="D38" s="18" t="s">
        <v>181</v>
      </c>
      <c r="E38" s="19"/>
      <c r="F38" s="19"/>
      <c r="G38" s="20" t="s">
        <v>42</v>
      </c>
      <c r="H38" s="21" t="str">
        <f>=DISPIMG("ID_8F380A1AC5504443BC46A8ABA2178AB0",1)</f>
        <v>=DISPIMG("ID_8F380A1AC5504443BC46A8ABA2178AB0",1)</v>
      </c>
      <c r="I38" s="56">
        <v>15.71</v>
      </c>
      <c r="J38" s="57" t="s">
        <v>26</v>
      </c>
      <c r="K38" s="23">
        <v>8</v>
      </c>
      <c r="L38" s="58">
        <f>I38*K38</f>
        <v>125.68</v>
      </c>
      <c r="M38" s="57" t="s">
        <v>26</v>
      </c>
      <c r="N38" s="23">
        <v>0</v>
      </c>
      <c r="O38" s="23">
        <v>8</v>
      </c>
      <c r="P38" s="23">
        <f t="shared" ref="P38:P43" si="6">MAX(0,K38-O38)</f>
        <v>0</v>
      </c>
      <c r="Q38" s="23">
        <v>2</v>
      </c>
      <c r="R38" s="23"/>
      <c r="T38" s="79"/>
    </row>
    <row r="39" spans="1:20" s="2" customFormat="true">
      <c r="A39" s="16"/>
      <c r="B39" s="16"/>
      <c r="C39" s="22"/>
      <c r="D39" s="22"/>
      <c r="E39" s="23"/>
      <c r="F39" s="23"/>
      <c r="G39" s="20"/>
      <c r="H39" s="21"/>
      <c r="I39" s="59"/>
      <c r="J39" s="57" t="s">
        <v>27</v>
      </c>
      <c r="K39" s="23">
        <v>106</v>
      </c>
      <c r="L39" s="58">
        <f>I38*K39</f>
        <v>1665.26</v>
      </c>
      <c r="M39" s="57" t="s">
        <v>27</v>
      </c>
      <c r="N39" s="23">
        <v>1</v>
      </c>
      <c r="O39" s="23">
        <v>19</v>
      </c>
      <c r="P39" s="23">
        <f t="shared" si="6"/>
        <v>87</v>
      </c>
      <c r="Q39" s="23">
        <v>4</v>
      </c>
      <c r="R39" s="23"/>
      <c r="T39" s="79"/>
    </row>
    <row r="40" spans="1:20" s="2" customFormat="true">
      <c r="A40" s="16"/>
      <c r="B40" s="16"/>
      <c r="C40" s="22"/>
      <c r="D40" s="22"/>
      <c r="E40" s="23"/>
      <c r="F40" s="23"/>
      <c r="G40" s="20"/>
      <c r="H40" s="21"/>
      <c r="I40" s="59"/>
      <c r="J40" s="57" t="s">
        <v>28</v>
      </c>
      <c r="K40" s="23">
        <v>128</v>
      </c>
      <c r="L40" s="58">
        <f>I38*K40</f>
        <v>2010.88</v>
      </c>
      <c r="M40" s="57" t="s">
        <v>28</v>
      </c>
      <c r="N40" s="23">
        <v>0</v>
      </c>
      <c r="O40" s="23">
        <v>16</v>
      </c>
      <c r="P40" s="23">
        <f t="shared" si="6"/>
        <v>112</v>
      </c>
      <c r="Q40" s="23">
        <v>1</v>
      </c>
      <c r="R40" s="23"/>
      <c r="T40" s="79"/>
    </row>
    <row r="41" spans="1:20" s="2" customFormat="true">
      <c r="A41" s="16"/>
      <c r="B41" s="16"/>
      <c r="C41" s="22"/>
      <c r="D41" s="22"/>
      <c r="E41" s="23"/>
      <c r="F41" s="23"/>
      <c r="G41" s="20"/>
      <c r="H41" s="21"/>
      <c r="I41" s="59"/>
      <c r="J41" s="57" t="s">
        <v>29</v>
      </c>
      <c r="K41" s="23">
        <v>102</v>
      </c>
      <c r="L41" s="58">
        <f>I38*K41</f>
        <v>1602.42</v>
      </c>
      <c r="M41" s="57" t="s">
        <v>29</v>
      </c>
      <c r="N41" s="23">
        <v>0</v>
      </c>
      <c r="O41" s="23">
        <v>14</v>
      </c>
      <c r="P41" s="23">
        <f t="shared" si="6"/>
        <v>88</v>
      </c>
      <c r="Q41" s="23">
        <v>0</v>
      </c>
      <c r="R41" s="23"/>
      <c r="T41" s="79"/>
    </row>
    <row r="42" spans="1:20" s="2" customFormat="true">
      <c r="A42" s="16"/>
      <c r="B42" s="16"/>
      <c r="C42" s="22"/>
      <c r="D42" s="22"/>
      <c r="E42" s="23"/>
      <c r="F42" s="23"/>
      <c r="G42" s="20"/>
      <c r="H42" s="21"/>
      <c r="I42" s="59"/>
      <c r="J42" s="57" t="s">
        <v>30</v>
      </c>
      <c r="K42" s="23">
        <v>16</v>
      </c>
      <c r="L42" s="58">
        <f>I38*K42</f>
        <v>251.36</v>
      </c>
      <c r="M42" s="57" t="s">
        <v>30</v>
      </c>
      <c r="N42" s="23">
        <v>0</v>
      </c>
      <c r="O42" s="23">
        <v>4</v>
      </c>
      <c r="P42" s="23">
        <f t="shared" si="6"/>
        <v>12</v>
      </c>
      <c r="Q42" s="23">
        <v>1</v>
      </c>
      <c r="R42" s="23"/>
      <c r="T42" s="79"/>
    </row>
    <row r="43" spans="1:20" s="2" customFormat="true">
      <c r="A43" s="16"/>
      <c r="B43" s="16"/>
      <c r="C43" s="22"/>
      <c r="D43" s="22"/>
      <c r="E43" s="23"/>
      <c r="F43" s="23"/>
      <c r="G43" s="20"/>
      <c r="H43" s="21"/>
      <c r="I43" s="60"/>
      <c r="J43" s="23" t="s">
        <v>31</v>
      </c>
      <c r="K43" s="23">
        <v>8</v>
      </c>
      <c r="L43" s="58">
        <f>I38*K43</f>
        <v>125.68</v>
      </c>
      <c r="M43" s="23" t="s">
        <v>31</v>
      </c>
      <c r="N43" s="23">
        <v>0</v>
      </c>
      <c r="O43" s="23">
        <v>2</v>
      </c>
      <c r="P43" s="23">
        <f t="shared" si="6"/>
        <v>6</v>
      </c>
      <c r="Q43" s="23">
        <v>1</v>
      </c>
      <c r="R43" s="23"/>
      <c r="T43" s="79"/>
    </row>
    <row r="44" spans="1:20" s="2" customFormat="true">
      <c r="A44" s="24"/>
      <c r="B44" s="24"/>
      <c r="C44" s="25"/>
      <c r="D44" s="25"/>
      <c r="E44" s="23"/>
      <c r="F44" s="23"/>
      <c r="G44" s="26"/>
      <c r="H44" s="27"/>
      <c r="I44" s="62"/>
      <c r="J44" s="61" t="s">
        <v>32</v>
      </c>
      <c r="K44" s="62">
        <f t="shared" ref="K44:N44" si="7">SUM(K38:K43)</f>
        <v>368</v>
      </c>
      <c r="L44" s="63">
        <f t="shared" si="7"/>
        <v>5781.28</v>
      </c>
      <c r="M44" s="61" t="s">
        <v>32</v>
      </c>
      <c r="N44" s="62">
        <f t="shared" si="7"/>
        <v>1</v>
      </c>
      <c r="O44" s="62" cm="1">
        <f t="array" ref="O44">SUMPRODUCT(--(O38:O43))</f>
        <v>63</v>
      </c>
      <c r="P44" s="64" cm="1">
        <f t="array" ref="P44">SUMPRODUCT(--(P38:P43))</f>
        <v>305</v>
      </c>
      <c r="Q44" s="64">
        <f>SUM(Q38:Q43)</f>
        <v>9</v>
      </c>
      <c r="R44" s="64">
        <f>SUM(R38:R43)</f>
        <v>0</v>
      </c>
      <c r="T44" s="79"/>
    </row>
    <row r="45" spans="1:20" s="2" customFormat="true" ht="17.4" customHeight="true">
      <c r="A45" s="28"/>
      <c r="B45" s="29"/>
      <c r="C45" s="29"/>
      <c r="D45" s="29"/>
      <c r="E45" s="29"/>
      <c r="F45" s="29"/>
      <c r="G45" s="29"/>
      <c r="H45" s="29"/>
      <c r="I45" s="29"/>
      <c r="J45" s="29"/>
      <c r="K45" s="29"/>
      <c r="L45" s="29"/>
      <c r="M45" s="29"/>
      <c r="N45" s="29"/>
      <c r="O45" s="29"/>
      <c r="P45" s="29"/>
      <c r="T45" s="79"/>
    </row>
    <row r="46" spans="1:20" s="1" customFormat="true" ht="10.95" customHeight="true">
      <c r="A46" s="7" t="s">
        <v>3</v>
      </c>
      <c r="B46" s="30" t="s">
        <v>4</v>
      </c>
      <c r="C46" s="30" t="s">
        <v>55</v>
      </c>
      <c r="D46" s="30" t="s">
        <v>6</v>
      </c>
      <c r="E46" s="30" t="s">
        <v>7</v>
      </c>
      <c r="F46" s="30" t="s">
        <v>8</v>
      </c>
      <c r="G46" s="30" t="s">
        <v>9</v>
      </c>
      <c r="H46" s="30"/>
      <c r="I46" s="7" t="s">
        <v>10</v>
      </c>
      <c r="J46" s="7" t="s">
        <v>11</v>
      </c>
      <c r="K46" s="8" t="s">
        <v>12</v>
      </c>
      <c r="L46" s="9"/>
      <c r="M46" s="7" t="s">
        <v>11</v>
      </c>
      <c r="N46" s="52" t="s">
        <v>13</v>
      </c>
      <c r="O46" s="52"/>
      <c r="P46" s="9"/>
      <c r="Q46" s="9" t="s">
        <v>14</v>
      </c>
      <c r="R46" s="9" t="s">
        <v>15</v>
      </c>
      <c r="T46" s="78"/>
    </row>
    <row r="47" spans="1:20" s="1" customFormat="true" ht="16.05" customHeight="true">
      <c r="A47" s="10"/>
      <c r="B47" s="30"/>
      <c r="C47" s="30"/>
      <c r="D47" s="30"/>
      <c r="E47" s="30"/>
      <c r="F47" s="30"/>
      <c r="G47" s="30"/>
      <c r="H47" s="30"/>
      <c r="I47" s="10"/>
      <c r="J47" s="10"/>
      <c r="K47" s="14"/>
      <c r="L47" s="15"/>
      <c r="M47" s="10"/>
      <c r="N47" s="53"/>
      <c r="O47" s="53"/>
      <c r="P47" s="15"/>
      <c r="Q47" s="15"/>
      <c r="R47" s="15"/>
      <c r="T47" s="78"/>
    </row>
    <row r="48" spans="1:20" s="1" customFormat="true" ht="28.95" customHeight="true">
      <c r="A48" s="13"/>
      <c r="B48" s="30"/>
      <c r="C48" s="30"/>
      <c r="D48" s="30"/>
      <c r="E48" s="30"/>
      <c r="F48" s="30"/>
      <c r="G48" s="30"/>
      <c r="H48" s="30"/>
      <c r="I48" s="13"/>
      <c r="J48" s="13"/>
      <c r="K48" s="54" t="s">
        <v>16</v>
      </c>
      <c r="L48" s="55" t="s">
        <v>17</v>
      </c>
      <c r="M48" s="13"/>
      <c r="N48" s="55" t="s">
        <v>18</v>
      </c>
      <c r="O48" s="55" t="s">
        <v>19</v>
      </c>
      <c r="P48" s="55" t="s">
        <v>20</v>
      </c>
      <c r="Q48" s="55" t="s">
        <v>21</v>
      </c>
      <c r="R48" s="55" t="s">
        <v>22</v>
      </c>
      <c r="T48" s="78"/>
    </row>
    <row r="49" spans="1:20" s="2" customFormat="true" ht="13.95" customHeight="true">
      <c r="A49" s="16">
        <v>5</v>
      </c>
      <c r="B49" s="17" t="str">
        <f>=DISPIMG("ID_754BB11F836F4A34856A81E849224154",1)</f>
        <v>=DISPIMG("ID_754BB11F836F4A34856A81E849224154",1)</v>
      </c>
      <c r="C49" s="18" t="s">
        <v>185</v>
      </c>
      <c r="D49" s="18" t="s">
        <v>181</v>
      </c>
      <c r="E49" s="19"/>
      <c r="F49" s="19"/>
      <c r="G49" s="20" t="s">
        <v>44</v>
      </c>
      <c r="H49" s="21" t="str">
        <f>=DISPIMG("ID_D8C7A552103749CE986AE2D9B116CB71",1)</f>
        <v>=DISPIMG("ID_D8C7A552103749CE986AE2D9B116CB71",1)</v>
      </c>
      <c r="I49" s="56">
        <v>15.71</v>
      </c>
      <c r="J49" s="57" t="s">
        <v>26</v>
      </c>
      <c r="K49" s="23">
        <v>10</v>
      </c>
      <c r="L49" s="58">
        <f>I49*K49</f>
        <v>157.1</v>
      </c>
      <c r="M49" s="57" t="s">
        <v>26</v>
      </c>
      <c r="N49" s="23">
        <v>0</v>
      </c>
      <c r="O49" s="23">
        <v>11</v>
      </c>
      <c r="P49" s="23">
        <f t="shared" ref="P49:P54" si="8">MAX(0,K49-O49)</f>
        <v>0</v>
      </c>
      <c r="Q49" s="23">
        <v>2</v>
      </c>
      <c r="R49" s="23"/>
      <c r="T49" s="79"/>
    </row>
    <row r="50" spans="1:20" s="2" customFormat="true">
      <c r="A50" s="16"/>
      <c r="B50" s="16"/>
      <c r="C50" s="22"/>
      <c r="D50" s="22"/>
      <c r="E50" s="23"/>
      <c r="F50" s="23"/>
      <c r="G50" s="20"/>
      <c r="H50" s="21"/>
      <c r="I50" s="59"/>
      <c r="J50" s="57" t="s">
        <v>27</v>
      </c>
      <c r="K50" s="23">
        <v>106</v>
      </c>
      <c r="L50" s="58">
        <f>I49*K50</f>
        <v>1665.26</v>
      </c>
      <c r="M50" s="57" t="s">
        <v>27</v>
      </c>
      <c r="N50" s="23">
        <v>0</v>
      </c>
      <c r="O50" s="23">
        <v>109</v>
      </c>
      <c r="P50" s="23">
        <f t="shared" si="8"/>
        <v>0</v>
      </c>
      <c r="Q50" s="23">
        <v>15</v>
      </c>
      <c r="R50" s="23"/>
      <c r="T50" s="79"/>
    </row>
    <row r="51" spans="1:20" s="2" customFormat="true">
      <c r="A51" s="16"/>
      <c r="B51" s="16"/>
      <c r="C51" s="22"/>
      <c r="D51" s="22"/>
      <c r="E51" s="23"/>
      <c r="F51" s="23"/>
      <c r="G51" s="20"/>
      <c r="H51" s="21"/>
      <c r="I51" s="59"/>
      <c r="J51" s="57" t="s">
        <v>28</v>
      </c>
      <c r="K51" s="23">
        <v>212</v>
      </c>
      <c r="L51" s="58">
        <f>I49*K51</f>
        <v>3330.52</v>
      </c>
      <c r="M51" s="57" t="s">
        <v>28</v>
      </c>
      <c r="N51" s="23">
        <v>0</v>
      </c>
      <c r="O51" s="23">
        <v>139</v>
      </c>
      <c r="P51" s="23">
        <f t="shared" si="8"/>
        <v>73</v>
      </c>
      <c r="Q51" s="23">
        <v>16</v>
      </c>
      <c r="R51" s="23"/>
      <c r="T51" s="79"/>
    </row>
    <row r="52" spans="1:20" s="2" customFormat="true">
      <c r="A52" s="16"/>
      <c r="B52" s="16"/>
      <c r="C52" s="22"/>
      <c r="D52" s="22"/>
      <c r="E52" s="23"/>
      <c r="F52" s="23"/>
      <c r="G52" s="20"/>
      <c r="H52" s="21"/>
      <c r="I52" s="59"/>
      <c r="J52" s="57" t="s">
        <v>29</v>
      </c>
      <c r="K52" s="23">
        <v>191</v>
      </c>
      <c r="L52" s="58">
        <f>I49*K52</f>
        <v>3000.61</v>
      </c>
      <c r="M52" s="57" t="s">
        <v>29</v>
      </c>
      <c r="N52" s="23">
        <v>0</v>
      </c>
      <c r="O52" s="23">
        <v>34</v>
      </c>
      <c r="P52" s="23">
        <f t="shared" si="8"/>
        <v>157</v>
      </c>
      <c r="Q52" s="23">
        <v>3</v>
      </c>
      <c r="R52" s="23"/>
      <c r="T52" s="79"/>
    </row>
    <row r="53" spans="1:20" s="2" customFormat="true">
      <c r="A53" s="16"/>
      <c r="B53" s="16"/>
      <c r="C53" s="22"/>
      <c r="D53" s="22"/>
      <c r="E53" s="23"/>
      <c r="F53" s="23"/>
      <c r="G53" s="20"/>
      <c r="H53" s="21"/>
      <c r="I53" s="59"/>
      <c r="J53" s="57" t="s">
        <v>30</v>
      </c>
      <c r="K53" s="23">
        <v>99</v>
      </c>
      <c r="L53" s="58">
        <f>I49*K53</f>
        <v>1555.29</v>
      </c>
      <c r="M53" s="57" t="s">
        <v>30</v>
      </c>
      <c r="N53" s="23">
        <v>0</v>
      </c>
      <c r="O53" s="23">
        <v>13</v>
      </c>
      <c r="P53" s="23">
        <f t="shared" si="8"/>
        <v>86</v>
      </c>
      <c r="Q53" s="23">
        <v>2</v>
      </c>
      <c r="R53" s="23"/>
      <c r="T53" s="79"/>
    </row>
    <row r="54" spans="1:20" s="2" customFormat="true">
      <c r="A54" s="16"/>
      <c r="B54" s="16"/>
      <c r="C54" s="22"/>
      <c r="D54" s="22"/>
      <c r="E54" s="23"/>
      <c r="F54" s="23"/>
      <c r="G54" s="20"/>
      <c r="H54" s="21"/>
      <c r="I54" s="60"/>
      <c r="J54" s="23" t="s">
        <v>31</v>
      </c>
      <c r="K54" s="23">
        <v>9</v>
      </c>
      <c r="L54" s="58">
        <f>I49*K54</f>
        <v>141.39</v>
      </c>
      <c r="M54" s="23" t="s">
        <v>31</v>
      </c>
      <c r="N54" s="23">
        <v>0</v>
      </c>
      <c r="O54" s="23">
        <v>9</v>
      </c>
      <c r="P54" s="23">
        <f t="shared" si="8"/>
        <v>0</v>
      </c>
      <c r="Q54" s="23">
        <v>0</v>
      </c>
      <c r="R54" s="23"/>
      <c r="T54" s="79"/>
    </row>
    <row r="55" spans="1:20" s="2" customFormat="true">
      <c r="A55" s="24"/>
      <c r="B55" s="24"/>
      <c r="C55" s="25"/>
      <c r="D55" s="25"/>
      <c r="E55" s="23"/>
      <c r="F55" s="23"/>
      <c r="G55" s="26"/>
      <c r="H55" s="27"/>
      <c r="I55" s="62"/>
      <c r="J55" s="61" t="s">
        <v>32</v>
      </c>
      <c r="K55" s="62">
        <f t="shared" ref="K55:N55" si="9">SUM(K49:K54)</f>
        <v>627</v>
      </c>
      <c r="L55" s="63">
        <f t="shared" si="9"/>
        <v>9850.17</v>
      </c>
      <c r="M55" s="61" t="s">
        <v>32</v>
      </c>
      <c r="N55" s="62">
        <f t="shared" si="9"/>
        <v>0</v>
      </c>
      <c r="O55" s="62" cm="1">
        <f t="array" ref="O55">SUMPRODUCT(--(O49:O54))</f>
        <v>315</v>
      </c>
      <c r="P55" s="64" cm="1">
        <f t="array" ref="P55">SUMPRODUCT(--(P49:P54))</f>
        <v>316</v>
      </c>
      <c r="Q55" s="64">
        <f>SUM(Q49:Q54)</f>
        <v>38</v>
      </c>
      <c r="R55" s="64">
        <f>SUM(R49:R54)</f>
        <v>0</v>
      </c>
      <c r="T55" s="79"/>
    </row>
    <row r="56" spans="1:16" s="3" customFormat="true">
      <c r="A56" s="4"/>
      <c r="B56" s="4"/>
      <c r="C56" s="31"/>
      <c r="D56" s="31"/>
      <c r="E56" s="31"/>
      <c r="F56" s="31"/>
      <c r="G56" s="31"/>
      <c r="H56" s="31"/>
      <c r="I56" s="65"/>
      <c r="J56" s="31"/>
      <c r="K56" s="65"/>
      <c r="L56" s="65"/>
      <c r="M56" s="31"/>
      <c r="N56" s="65"/>
      <c r="O56" s="65"/>
      <c r="P56" s="65"/>
    </row>
    <row r="57"/>
    <row r="58" spans="1:14" ht="46" customHeight="true">
      <c r="A58" s="32" t="s">
        <v>45</v>
      </c>
      <c r="B58" s="33"/>
      <c r="C58" s="35" t="s">
        <v>55</v>
      </c>
      <c r="D58" s="35" t="s">
        <v>6</v>
      </c>
      <c r="E58" s="35" t="s">
        <v>7</v>
      </c>
      <c r="F58" s="35" t="s">
        <v>8</v>
      </c>
      <c r="G58" s="32" t="s">
        <v>9</v>
      </c>
      <c r="H58" s="33"/>
      <c r="I58" s="34" t="s">
        <v>46</v>
      </c>
      <c r="J58" s="34" t="s">
        <v>47</v>
      </c>
      <c r="K58" s="66" t="s">
        <v>48</v>
      </c>
      <c r="L58" s="67"/>
      <c r="M58" s="32" t="s">
        <v>49</v>
      </c>
      <c r="N58" s="33"/>
    </row>
    <row r="59" spans="1:14" ht="25.05" customHeight="true">
      <c r="A59" s="36"/>
      <c r="B59" s="37"/>
      <c r="C59" s="18" t="s">
        <v>186</v>
      </c>
      <c r="D59" s="18" t="s">
        <v>181</v>
      </c>
      <c r="E59" s="38"/>
      <c r="F59" s="38"/>
      <c r="G59" s="39" t="s">
        <v>187</v>
      </c>
      <c r="H59" s="40"/>
      <c r="I59" s="68" t="str">
        <f>SUM(K11,K22,K33,K44,K55)&amp;"件"</f>
        <v>2056件</v>
      </c>
      <c r="J59" s="68" t="str">
        <f>SUM(O11,O22,O33,O44,O55)&amp;"件"</f>
        <v>649件</v>
      </c>
      <c r="K59" s="69" t="str">
        <f>SUM(P11,P22,P33,P44,P55)&amp;"件"</f>
        <v>1424件</v>
      </c>
      <c r="L59" s="70"/>
      <c r="M59" s="71"/>
      <c r="N59" s="70"/>
    </row>
    <row r="60" spans="1:14" ht="25.05" customHeight="true">
      <c r="A60" s="41"/>
      <c r="B60" s="42"/>
      <c r="C60" s="22"/>
      <c r="D60" s="22"/>
      <c r="E60" s="43"/>
      <c r="F60" s="43"/>
      <c r="G60" s="44"/>
      <c r="H60" s="45"/>
      <c r="I60" s="16"/>
      <c r="J60" s="16"/>
      <c r="K60" s="72"/>
      <c r="L60" s="73"/>
      <c r="M60" s="74"/>
      <c r="N60" s="73"/>
    </row>
    <row r="61" spans="1:14">
      <c r="A61" s="41"/>
      <c r="B61" s="42"/>
      <c r="C61" s="22"/>
      <c r="D61" s="22"/>
      <c r="E61" s="43"/>
      <c r="F61" s="43"/>
      <c r="G61" s="44"/>
      <c r="H61" s="45"/>
      <c r="I61" s="16"/>
      <c r="J61" s="16"/>
      <c r="K61" s="72"/>
      <c r="L61" s="73"/>
      <c r="M61" s="74"/>
      <c r="N61" s="73"/>
    </row>
    <row r="62" spans="1:14">
      <c r="A62" s="41"/>
      <c r="B62" s="42"/>
      <c r="C62" s="22"/>
      <c r="D62" s="22"/>
      <c r="E62" s="43"/>
      <c r="F62" s="43"/>
      <c r="G62" s="44"/>
      <c r="H62" s="45"/>
      <c r="I62" s="16"/>
      <c r="J62" s="16"/>
      <c r="K62" s="72"/>
      <c r="L62" s="73"/>
      <c r="M62" s="74"/>
      <c r="N62" s="73"/>
    </row>
    <row r="63" spans="1:14">
      <c r="A63" s="41"/>
      <c r="B63" s="42"/>
      <c r="C63" s="22"/>
      <c r="D63" s="22"/>
      <c r="E63" s="43"/>
      <c r="F63" s="43"/>
      <c r="G63" s="44"/>
      <c r="H63" s="45"/>
      <c r="I63" s="16"/>
      <c r="J63" s="16"/>
      <c r="K63" s="72"/>
      <c r="L63" s="73"/>
      <c r="M63" s="74"/>
      <c r="N63" s="73"/>
    </row>
    <row r="64" spans="1:14" customHeight="true">
      <c r="A64" s="41"/>
      <c r="B64" s="42"/>
      <c r="C64" s="22"/>
      <c r="D64" s="22"/>
      <c r="E64" s="43"/>
      <c r="F64" s="43"/>
      <c r="G64" s="44"/>
      <c r="H64" s="45"/>
      <c r="I64" s="16"/>
      <c r="J64" s="16"/>
      <c r="K64" s="72"/>
      <c r="L64" s="73"/>
      <c r="M64" s="74"/>
      <c r="N64" s="73"/>
    </row>
    <row r="65" spans="1:14">
      <c r="A65" s="46"/>
      <c r="B65" s="47"/>
      <c r="C65" s="25"/>
      <c r="D65" s="25"/>
      <c r="E65" s="48"/>
      <c r="F65" s="48"/>
      <c r="G65" s="49"/>
      <c r="H65" s="50"/>
      <c r="I65" s="24"/>
      <c r="J65" s="24"/>
      <c r="K65" s="75"/>
      <c r="L65" s="76"/>
      <c r="M65" s="77"/>
      <c r="N65" s="76"/>
    </row>
  </sheetData>
  <mergeCells count="136">
    <mergeCell ref="A1:L1"/>
    <mergeCell ref="M1:O1"/>
    <mergeCell ref="P1:R1"/>
    <mergeCell ref="A12:P12"/>
    <mergeCell ref="A23:P23"/>
    <mergeCell ref="A34:P34"/>
    <mergeCell ref="A45:P45"/>
    <mergeCell ref="A58:B58"/>
    <mergeCell ref="G58:H58"/>
    <mergeCell ref="K58:L58"/>
    <mergeCell ref="M58:N58"/>
    <mergeCell ref="A2:A4"/>
    <mergeCell ref="A5:A11"/>
    <mergeCell ref="A13:A15"/>
    <mergeCell ref="A16:A22"/>
    <mergeCell ref="A24:A26"/>
    <mergeCell ref="A27:A33"/>
    <mergeCell ref="A35:A37"/>
    <mergeCell ref="A38:A44"/>
    <mergeCell ref="A46:A48"/>
    <mergeCell ref="A49:A55"/>
    <mergeCell ref="B2:B4"/>
    <mergeCell ref="B5:B11"/>
    <mergeCell ref="B13:B15"/>
    <mergeCell ref="B16:B22"/>
    <mergeCell ref="B24:B26"/>
    <mergeCell ref="B27:B33"/>
    <mergeCell ref="B35:B37"/>
    <mergeCell ref="B38:B44"/>
    <mergeCell ref="B46:B48"/>
    <mergeCell ref="B49:B55"/>
    <mergeCell ref="C2:C4"/>
    <mergeCell ref="C5:C11"/>
    <mergeCell ref="C13:C15"/>
    <mergeCell ref="C16:C22"/>
    <mergeCell ref="C24:C26"/>
    <mergeCell ref="C27:C33"/>
    <mergeCell ref="C35:C37"/>
    <mergeCell ref="C38:C44"/>
    <mergeCell ref="C46:C48"/>
    <mergeCell ref="C49:C55"/>
    <mergeCell ref="C59:C65"/>
    <mergeCell ref="D2:D4"/>
    <mergeCell ref="D5:D11"/>
    <mergeCell ref="D13:D15"/>
    <mergeCell ref="D16:D22"/>
    <mergeCell ref="D24:D26"/>
    <mergeCell ref="D27:D33"/>
    <mergeCell ref="D35:D37"/>
    <mergeCell ref="D38:D44"/>
    <mergeCell ref="D46:D48"/>
    <mergeCell ref="D49:D55"/>
    <mergeCell ref="D59:D65"/>
    <mergeCell ref="E2:E4"/>
    <mergeCell ref="E5:E11"/>
    <mergeCell ref="E13:E15"/>
    <mergeCell ref="E16:E22"/>
    <mergeCell ref="E24:E26"/>
    <mergeCell ref="E27:E33"/>
    <mergeCell ref="E35:E37"/>
    <mergeCell ref="E38:E44"/>
    <mergeCell ref="E46:E48"/>
    <mergeCell ref="E49:E55"/>
    <mergeCell ref="E59:E65"/>
    <mergeCell ref="F2:F4"/>
    <mergeCell ref="F5:F11"/>
    <mergeCell ref="F13:F15"/>
    <mergeCell ref="F16:F22"/>
    <mergeCell ref="F24:F26"/>
    <mergeCell ref="F27:F33"/>
    <mergeCell ref="F35:F37"/>
    <mergeCell ref="F38:F44"/>
    <mergeCell ref="F46:F48"/>
    <mergeCell ref="F49:F55"/>
    <mergeCell ref="F59:F65"/>
    <mergeCell ref="G5:G11"/>
    <mergeCell ref="G16:G22"/>
    <mergeCell ref="G27:G33"/>
    <mergeCell ref="G38:G44"/>
    <mergeCell ref="G49:G55"/>
    <mergeCell ref="H5:H11"/>
    <mergeCell ref="H16:H22"/>
    <mergeCell ref="H27:H33"/>
    <mergeCell ref="H38:H44"/>
    <mergeCell ref="H49:H55"/>
    <mergeCell ref="I2:I4"/>
    <mergeCell ref="I5:I10"/>
    <mergeCell ref="I13:I15"/>
    <mergeCell ref="I16:I21"/>
    <mergeCell ref="I24:I26"/>
    <mergeCell ref="I27:I32"/>
    <mergeCell ref="I35:I37"/>
    <mergeCell ref="I38:I43"/>
    <mergeCell ref="I46:I48"/>
    <mergeCell ref="I49:I54"/>
    <mergeCell ref="I59:I65"/>
    <mergeCell ref="J2:J4"/>
    <mergeCell ref="J13:J15"/>
    <mergeCell ref="J24:J26"/>
    <mergeCell ref="J35:J37"/>
    <mergeCell ref="J46:J48"/>
    <mergeCell ref="J59:J65"/>
    <mergeCell ref="M2:M4"/>
    <mergeCell ref="M13:M15"/>
    <mergeCell ref="M24:M26"/>
    <mergeCell ref="M35:M37"/>
    <mergeCell ref="M46:M48"/>
    <mergeCell ref="Q2:Q3"/>
    <mergeCell ref="Q13:Q14"/>
    <mergeCell ref="Q24:Q25"/>
    <mergeCell ref="Q35:Q36"/>
    <mergeCell ref="Q46:Q47"/>
    <mergeCell ref="R2:R3"/>
    <mergeCell ref="R13:R14"/>
    <mergeCell ref="R24:R25"/>
    <mergeCell ref="R35:R36"/>
    <mergeCell ref="R46:R47"/>
    <mergeCell ref="G2:H4"/>
    <mergeCell ref="K2:L3"/>
    <mergeCell ref="N2:P3"/>
    <mergeCell ref="G13:H15"/>
    <mergeCell ref="K13:L14"/>
    <mergeCell ref="N13:P14"/>
    <mergeCell ref="G24:H26"/>
    <mergeCell ref="K24:L25"/>
    <mergeCell ref="N24:P25"/>
    <mergeCell ref="G35:H37"/>
    <mergeCell ref="K35:L36"/>
    <mergeCell ref="N35:P36"/>
    <mergeCell ref="G46:H48"/>
    <mergeCell ref="K46:L47"/>
    <mergeCell ref="N46:P47"/>
    <mergeCell ref="A59:B65"/>
    <mergeCell ref="G59:H65"/>
    <mergeCell ref="K59:L65"/>
    <mergeCell ref="M59:N65"/>
  </mergeCells>
  <pageMargins left="0.75" right="0.75" top="1" bottom="1" header="0.5" footer="0.5"/>
  <pageSetup orientation="portrait" paperSize="9"/>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U65"/>
  <sheetViews>
    <sheetView topLeftCell="A23" zoomScale="90" zoomScaleNormal="90" workbookViewId="0">
      <selection activeCell="P49" sqref="P49:P54"/>
    </sheetView>
  </sheetViews>
  <sheetFormatPr defaultColWidth="8.55555555555556" defaultRowHeight="14.4"/>
  <cols>
    <col customWidth="true" max="1" min="1" style="3" width="7"/>
    <col customWidth="true" max="2" min="2" style="3" width="8.77777777777778"/>
    <col customWidth="true" max="3" min="3" style="3" width="18.6388888888889"/>
    <col customWidth="true" max="4" min="4" style="3" width="9.88888888888889"/>
    <col customWidth="true" hidden="true" max="5" min="5" style="3" width="12.7777777777778"/>
    <col customWidth="true" hidden="true" max="6" min="6" style="3" width="12.6666666666667"/>
    <col customWidth="true" max="7" min="7" style="3" width="13.5740740740741"/>
    <col customWidth="true" max="8" min="8" style="3" width="11.5555555555556"/>
    <col customWidth="true" max="9" min="9" style="3" width="13.9444444444444"/>
    <col customWidth="true" max="10" min="10" style="4" width="13.2037037037037"/>
    <col customWidth="true" max="11" min="11" style="3" width="12.5833333333333"/>
    <col customWidth="true" max="12" min="12" style="3" width="15.3055555555556"/>
    <col customWidth="true" max="13" min="13" style="4" width="12.5925925925926"/>
    <col customWidth="true" max="14" min="14" style="3" width="10.8611111111111"/>
    <col customWidth="true" max="15" min="15" style="3" width="11.3518518518519"/>
    <col customWidth="true" max="18" min="16" style="3" width="13.0833333333333"/>
    <col max="16384" min="19" style="3" width="8.55555555555556"/>
  </cols>
  <sheetData>
    <row r="1" spans="1:20" s="1" customFormat="true" ht="58.8" customHeight="true">
      <c r="A1" s="5" t="s">
        <v>188</v>
      </c>
      <c r="B1" s="6"/>
      <c r="C1" s="6"/>
      <c r="D1" s="6"/>
      <c r="E1" s="6"/>
      <c r="F1" s="6"/>
      <c r="G1" s="6"/>
      <c r="H1" s="6"/>
      <c r="I1" s="6"/>
      <c r="J1" s="6"/>
      <c r="K1" s="6"/>
      <c r="L1" s="6"/>
      <c r="M1" s="6" t="s">
        <v>189</v>
      </c>
      <c r="N1" s="6"/>
      <c r="O1" s="6"/>
      <c r="P1" s="51" t="s">
        <v>2</v>
      </c>
      <c r="Q1" s="6"/>
      <c r="R1" s="6"/>
      <c r="T1" s="78"/>
    </row>
    <row r="2" spans="1:20" s="1" customFormat="true" ht="10.95" customHeight="true">
      <c r="A2" s="7" t="s">
        <v>3</v>
      </c>
      <c r="B2" s="7" t="s">
        <v>4</v>
      </c>
      <c r="C2" s="7" t="s">
        <v>55</v>
      </c>
      <c r="D2" s="7" t="s">
        <v>6</v>
      </c>
      <c r="E2" s="7" t="s">
        <v>7</v>
      </c>
      <c r="F2" s="7" t="s">
        <v>8</v>
      </c>
      <c r="G2" s="8" t="s">
        <v>9</v>
      </c>
      <c r="H2" s="9"/>
      <c r="I2" s="7" t="s">
        <v>10</v>
      </c>
      <c r="J2" s="7" t="s">
        <v>11</v>
      </c>
      <c r="K2" s="52" t="s">
        <v>12</v>
      </c>
      <c r="L2" s="9"/>
      <c r="M2" s="7" t="s">
        <v>11</v>
      </c>
      <c r="N2" s="52" t="s">
        <v>13</v>
      </c>
      <c r="O2" s="52"/>
      <c r="P2" s="9"/>
      <c r="Q2" s="9" t="s">
        <v>14</v>
      </c>
      <c r="R2" s="9" t="s">
        <v>15</v>
      </c>
      <c r="T2" s="78"/>
    </row>
    <row r="3" spans="1:20" s="1" customFormat="true" ht="16.05" customHeight="true">
      <c r="A3" s="10"/>
      <c r="B3" s="10"/>
      <c r="C3" s="10"/>
      <c r="D3" s="10"/>
      <c r="E3" s="10"/>
      <c r="F3" s="10"/>
      <c r="G3" s="11"/>
      <c r="H3" s="12"/>
      <c r="I3" s="10"/>
      <c r="J3" s="10"/>
      <c r="K3" s="53"/>
      <c r="L3" s="15"/>
      <c r="M3" s="10"/>
      <c r="N3" s="53"/>
      <c r="O3" s="53"/>
      <c r="P3" s="15"/>
      <c r="Q3" s="15"/>
      <c r="R3" s="15"/>
      <c r="T3" s="78"/>
    </row>
    <row r="4" spans="1:20" s="1" customFormat="true" ht="28.95" customHeight="true">
      <c r="A4" s="13"/>
      <c r="B4" s="13"/>
      <c r="C4" s="13"/>
      <c r="D4" s="13"/>
      <c r="E4" s="13"/>
      <c r="F4" s="13"/>
      <c r="G4" s="14"/>
      <c r="H4" s="15"/>
      <c r="I4" s="13"/>
      <c r="J4" s="13"/>
      <c r="K4" s="54" t="s">
        <v>16</v>
      </c>
      <c r="L4" s="55" t="s">
        <v>17</v>
      </c>
      <c r="M4" s="13"/>
      <c r="N4" s="55" t="s">
        <v>18</v>
      </c>
      <c r="O4" s="55" t="s">
        <v>19</v>
      </c>
      <c r="P4" s="55" t="s">
        <v>20</v>
      </c>
      <c r="Q4" s="55" t="s">
        <v>21</v>
      </c>
      <c r="R4" s="55" t="s">
        <v>22</v>
      </c>
      <c r="T4" s="78"/>
    </row>
    <row r="5" spans="1:20" s="2" customFormat="true" customHeight="true">
      <c r="A5" s="16">
        <v>1</v>
      </c>
      <c r="B5" s="17" t="str">
        <f>=DISPIMG("ID_50D8B024455F4A9481DF02DFB92266EA",1)</f>
        <v>=DISPIMG("ID_50D8B024455F4A9481DF02DFB92266EA",1)</v>
      </c>
      <c r="C5" s="18" t="s">
        <v>190</v>
      </c>
      <c r="D5" s="18" t="s">
        <v>191</v>
      </c>
      <c r="E5" s="19"/>
      <c r="F5" s="19"/>
      <c r="G5" s="20" t="s">
        <v>25</v>
      </c>
      <c r="H5" s="21" t="str">
        <f>=DISPIMG("ID_BF03DB259DC34C5485B43FFEF0C40EC8",1)</f>
        <v>=DISPIMG("ID_BF03DB259DC34C5485B43FFEF0C40EC8",1)</v>
      </c>
      <c r="I5" s="56">
        <v>12.2</v>
      </c>
      <c r="J5" s="57" t="s">
        <v>26</v>
      </c>
      <c r="K5" s="23">
        <v>88</v>
      </c>
      <c r="L5" s="58">
        <f>I5*K5</f>
        <v>1073.6</v>
      </c>
      <c r="M5" s="57" t="s">
        <v>26</v>
      </c>
      <c r="N5" s="23">
        <v>0</v>
      </c>
      <c r="O5" s="23">
        <v>5</v>
      </c>
      <c r="P5" s="23">
        <f t="shared" ref="P5:P10" si="0">MAX(0,K5-O5)</f>
        <v>83</v>
      </c>
      <c r="Q5" s="23">
        <v>1</v>
      </c>
      <c r="R5" s="23"/>
      <c r="T5" s="79"/>
    </row>
    <row r="6" spans="1:20" s="2" customFormat="true">
      <c r="A6" s="16"/>
      <c r="B6" s="16"/>
      <c r="C6" s="22"/>
      <c r="D6" s="22"/>
      <c r="E6" s="23"/>
      <c r="F6" s="23"/>
      <c r="G6" s="20"/>
      <c r="H6" s="21"/>
      <c r="I6" s="59"/>
      <c r="J6" s="57" t="s">
        <v>27</v>
      </c>
      <c r="K6" s="23">
        <v>104</v>
      </c>
      <c r="L6" s="58">
        <f>I5*K6</f>
        <v>1268.8</v>
      </c>
      <c r="M6" s="57" t="s">
        <v>27</v>
      </c>
      <c r="N6" s="23">
        <v>0</v>
      </c>
      <c r="O6" s="23">
        <v>16</v>
      </c>
      <c r="P6" s="23">
        <f t="shared" si="0"/>
        <v>88</v>
      </c>
      <c r="Q6" s="23">
        <v>5</v>
      </c>
      <c r="R6" s="23"/>
      <c r="T6" s="79"/>
    </row>
    <row r="7" spans="1:20" s="2" customFormat="true">
      <c r="A7" s="16"/>
      <c r="B7" s="16"/>
      <c r="C7" s="22"/>
      <c r="D7" s="22"/>
      <c r="E7" s="23"/>
      <c r="F7" s="23"/>
      <c r="G7" s="20"/>
      <c r="H7" s="21"/>
      <c r="I7" s="59"/>
      <c r="J7" s="57" t="s">
        <v>28</v>
      </c>
      <c r="K7" s="23">
        <v>130</v>
      </c>
      <c r="L7" s="58">
        <f>I5*K7</f>
        <v>1586</v>
      </c>
      <c r="M7" s="57" t="s">
        <v>28</v>
      </c>
      <c r="N7" s="23">
        <v>0</v>
      </c>
      <c r="O7" s="23">
        <v>13</v>
      </c>
      <c r="P7" s="23">
        <f t="shared" si="0"/>
        <v>117</v>
      </c>
      <c r="Q7" s="23">
        <v>3</v>
      </c>
      <c r="R7" s="23"/>
      <c r="T7" s="79"/>
    </row>
    <row r="8" spans="1:20" s="2" customFormat="true">
      <c r="A8" s="16"/>
      <c r="B8" s="16"/>
      <c r="C8" s="22"/>
      <c r="D8" s="22"/>
      <c r="E8" s="23"/>
      <c r="F8" s="23"/>
      <c r="G8" s="20"/>
      <c r="H8" s="21"/>
      <c r="I8" s="59"/>
      <c r="J8" s="57" t="s">
        <v>29</v>
      </c>
      <c r="K8" s="23">
        <v>106</v>
      </c>
      <c r="L8" s="58">
        <f>I5*K8</f>
        <v>1293.2</v>
      </c>
      <c r="M8" s="57" t="s">
        <v>29</v>
      </c>
      <c r="N8" s="23">
        <v>0</v>
      </c>
      <c r="O8" s="23">
        <v>5</v>
      </c>
      <c r="P8" s="23">
        <f t="shared" si="0"/>
        <v>101</v>
      </c>
      <c r="Q8" s="23">
        <v>1</v>
      </c>
      <c r="R8" s="23"/>
      <c r="T8" s="79"/>
    </row>
    <row r="9" spans="1:20" s="2" customFormat="true">
      <c r="A9" s="16"/>
      <c r="B9" s="16"/>
      <c r="C9" s="22"/>
      <c r="D9" s="22"/>
      <c r="E9" s="23"/>
      <c r="F9" s="23"/>
      <c r="G9" s="20"/>
      <c r="H9" s="21"/>
      <c r="I9" s="59"/>
      <c r="J9" s="57" t="s">
        <v>30</v>
      </c>
      <c r="K9" s="23">
        <v>95</v>
      </c>
      <c r="L9" s="58">
        <f>I5*K9</f>
        <v>1159</v>
      </c>
      <c r="M9" s="57" t="s">
        <v>30</v>
      </c>
      <c r="N9" s="23">
        <v>0</v>
      </c>
      <c r="O9" s="23">
        <v>3</v>
      </c>
      <c r="P9" s="23">
        <f t="shared" si="0"/>
        <v>92</v>
      </c>
      <c r="Q9" s="23">
        <v>0</v>
      </c>
      <c r="R9" s="23"/>
      <c r="T9" s="79"/>
    </row>
    <row r="10" spans="1:20" s="2" customFormat="true">
      <c r="A10" s="16"/>
      <c r="B10" s="16"/>
      <c r="C10" s="22"/>
      <c r="D10" s="22"/>
      <c r="E10" s="23"/>
      <c r="F10" s="23"/>
      <c r="G10" s="20"/>
      <c r="H10" s="21"/>
      <c r="I10" s="60"/>
      <c r="J10" s="23" t="s">
        <v>31</v>
      </c>
      <c r="K10" s="23">
        <v>8</v>
      </c>
      <c r="L10" s="58">
        <f>I5*K10</f>
        <v>97.6</v>
      </c>
      <c r="M10" s="23" t="s">
        <v>31</v>
      </c>
      <c r="N10" s="23">
        <v>0</v>
      </c>
      <c r="O10" s="23">
        <v>5</v>
      </c>
      <c r="P10" s="23">
        <f t="shared" si="0"/>
        <v>3</v>
      </c>
      <c r="Q10" s="23">
        <v>0</v>
      </c>
      <c r="R10" s="23"/>
      <c r="T10" s="79"/>
    </row>
    <row r="11" spans="1:20" s="2" customFormat="true">
      <c r="A11" s="24"/>
      <c r="B11" s="24"/>
      <c r="C11" s="25"/>
      <c r="D11" s="25"/>
      <c r="E11" s="23"/>
      <c r="F11" s="23"/>
      <c r="G11" s="26"/>
      <c r="H11" s="27"/>
      <c r="J11" s="61" t="s">
        <v>32</v>
      </c>
      <c r="K11" s="62">
        <f t="shared" ref="K11:N11" si="1">SUM(K5:K10)</f>
        <v>531</v>
      </c>
      <c r="L11" s="63">
        <f t="shared" si="1"/>
        <v>6478.2</v>
      </c>
      <c r="M11" s="61" t="s">
        <v>32</v>
      </c>
      <c r="N11" s="62">
        <f t="shared" si="1"/>
        <v>0</v>
      </c>
      <c r="O11" s="62" cm="1">
        <f t="array" ref="O11">SUMPRODUCT(--(O5:O10))</f>
        <v>47</v>
      </c>
      <c r="P11" s="64" cm="1">
        <f t="array" ref="P11">SUMPRODUCT(--(P5:P10))</f>
        <v>484</v>
      </c>
      <c r="Q11" s="64">
        <f>SUM(Q5:Q10)</f>
        <v>10</v>
      </c>
      <c r="R11" s="64">
        <f>SUM(R5:R10)</f>
        <v>0</v>
      </c>
      <c r="T11" s="79"/>
    </row>
    <row r="12" spans="1:20" s="2" customFormat="true" ht="17.4" customHeight="true">
      <c r="A12" s="28"/>
      <c r="B12" s="29"/>
      <c r="C12" s="29"/>
      <c r="D12" s="29"/>
      <c r="E12" s="29"/>
      <c r="F12" s="29"/>
      <c r="G12" s="29"/>
      <c r="H12" s="29"/>
      <c r="I12" s="29"/>
      <c r="J12" s="29"/>
      <c r="K12" s="29"/>
      <c r="L12" s="29"/>
      <c r="M12" s="29"/>
      <c r="N12" s="29"/>
      <c r="O12" s="29"/>
      <c r="P12" s="29"/>
      <c r="Q12" s="29"/>
      <c r="R12" s="29"/>
      <c r="T12" s="79"/>
    </row>
    <row r="13" spans="1:21" s="1" customFormat="true" ht="10.95" customHeight="true">
      <c r="A13" s="7" t="s">
        <v>3</v>
      </c>
      <c r="B13" s="30" t="s">
        <v>4</v>
      </c>
      <c r="C13" s="30" t="s">
        <v>55</v>
      </c>
      <c r="D13" s="30" t="s">
        <v>6</v>
      </c>
      <c r="E13" s="30" t="s">
        <v>7</v>
      </c>
      <c r="F13" s="30" t="s">
        <v>8</v>
      </c>
      <c r="G13" s="30" t="s">
        <v>9</v>
      </c>
      <c r="H13" s="30"/>
      <c r="I13" s="7" t="s">
        <v>10</v>
      </c>
      <c r="J13" s="7" t="s">
        <v>11</v>
      </c>
      <c r="K13" s="8" t="s">
        <v>12</v>
      </c>
      <c r="L13" s="9"/>
      <c r="M13" s="7" t="s">
        <v>11</v>
      </c>
      <c r="N13" s="52" t="s">
        <v>13</v>
      </c>
      <c r="O13" s="52"/>
      <c r="P13" s="9"/>
      <c r="Q13" s="9" t="s">
        <v>14</v>
      </c>
      <c r="R13" s="9" t="s">
        <v>15</v>
      </c>
      <c r="T13" s="78"/>
      <c r="U13" s="2"/>
    </row>
    <row r="14" spans="1:20" s="1" customFormat="true" ht="16.05" customHeight="true">
      <c r="A14" s="10"/>
      <c r="B14" s="30"/>
      <c r="C14" s="30"/>
      <c r="D14" s="30"/>
      <c r="E14" s="30"/>
      <c r="F14" s="30"/>
      <c r="G14" s="30"/>
      <c r="H14" s="30"/>
      <c r="I14" s="10"/>
      <c r="J14" s="10"/>
      <c r="K14" s="14"/>
      <c r="L14" s="15"/>
      <c r="M14" s="10"/>
      <c r="N14" s="53"/>
      <c r="O14" s="53"/>
      <c r="P14" s="15"/>
      <c r="Q14" s="15"/>
      <c r="R14" s="15"/>
      <c r="T14" s="78"/>
    </row>
    <row r="15" spans="1:20" s="1" customFormat="true" ht="28.95" customHeight="true">
      <c r="A15" s="13"/>
      <c r="B15" s="30"/>
      <c r="C15" s="30"/>
      <c r="D15" s="30"/>
      <c r="E15" s="30"/>
      <c r="F15" s="30"/>
      <c r="G15" s="30"/>
      <c r="H15" s="30"/>
      <c r="I15" s="13"/>
      <c r="J15" s="13"/>
      <c r="K15" s="54" t="s">
        <v>16</v>
      </c>
      <c r="L15" s="55" t="s">
        <v>17</v>
      </c>
      <c r="M15" s="13"/>
      <c r="N15" s="55" t="s">
        <v>18</v>
      </c>
      <c r="O15" s="55" t="s">
        <v>19</v>
      </c>
      <c r="P15" s="55" t="s">
        <v>20</v>
      </c>
      <c r="Q15" s="55" t="s">
        <v>21</v>
      </c>
      <c r="R15" s="55" t="s">
        <v>22</v>
      </c>
      <c r="T15" s="78"/>
    </row>
    <row r="16" spans="1:20" s="2" customFormat="true" ht="13.95" customHeight="true">
      <c r="A16" s="16">
        <v>2</v>
      </c>
      <c r="B16" s="17" t="str">
        <f>=DISPIMG("ID_FE5C2350ACD34BC1ABA91EE5ED0EB87F",1)</f>
        <v>=DISPIMG("ID_FE5C2350ACD34BC1ABA91EE5ED0EB87F",1)</v>
      </c>
      <c r="C16" s="18" t="s">
        <v>192</v>
      </c>
      <c r="D16" s="18" t="s">
        <v>191</v>
      </c>
      <c r="E16" s="19"/>
      <c r="F16" s="19"/>
      <c r="G16" s="20" t="s">
        <v>34</v>
      </c>
      <c r="H16" s="21" t="str">
        <f>=DISPIMG("ID_9015C1152CB948398E40FDA4ECDF04C6",1)</f>
        <v>=DISPIMG("ID_9015C1152CB948398E40FDA4ECDF04C6",1)</v>
      </c>
      <c r="I16" s="56">
        <v>12.2</v>
      </c>
      <c r="J16" s="57" t="s">
        <v>26</v>
      </c>
      <c r="K16" s="23">
        <v>89</v>
      </c>
      <c r="L16" s="58">
        <f>I16*K16</f>
        <v>1085.8</v>
      </c>
      <c r="M16" s="57" t="s">
        <v>26</v>
      </c>
      <c r="N16" s="23">
        <v>0</v>
      </c>
      <c r="O16" s="23">
        <v>17</v>
      </c>
      <c r="P16" s="23">
        <f t="shared" ref="P16:P21" si="2">MAX(0,K16-O16)</f>
        <v>72</v>
      </c>
      <c r="Q16" s="23">
        <v>1</v>
      </c>
      <c r="R16" s="23"/>
      <c r="T16" s="79"/>
    </row>
    <row r="17" spans="1:20" s="2" customFormat="true">
      <c r="A17" s="16"/>
      <c r="B17" s="16"/>
      <c r="C17" s="22"/>
      <c r="D17" s="22"/>
      <c r="E17" s="23"/>
      <c r="F17" s="23"/>
      <c r="G17" s="20"/>
      <c r="H17" s="21"/>
      <c r="I17" s="59"/>
      <c r="J17" s="57" t="s">
        <v>27</v>
      </c>
      <c r="K17" s="23">
        <v>260</v>
      </c>
      <c r="L17" s="58">
        <f>I16*K17</f>
        <v>3172</v>
      </c>
      <c r="M17" s="57" t="s">
        <v>27</v>
      </c>
      <c r="N17" s="23">
        <v>0</v>
      </c>
      <c r="O17" s="23">
        <v>16</v>
      </c>
      <c r="P17" s="23">
        <f t="shared" si="2"/>
        <v>244</v>
      </c>
      <c r="Q17" s="23">
        <v>2</v>
      </c>
      <c r="R17" s="23"/>
      <c r="T17" s="79"/>
    </row>
    <row r="18" spans="1:20" s="2" customFormat="true">
      <c r="A18" s="16"/>
      <c r="B18" s="16"/>
      <c r="C18" s="22"/>
      <c r="D18" s="22"/>
      <c r="E18" s="23"/>
      <c r="F18" s="23"/>
      <c r="G18" s="20"/>
      <c r="H18" s="21"/>
      <c r="I18" s="59"/>
      <c r="J18" s="57" t="s">
        <v>28</v>
      </c>
      <c r="K18" s="23">
        <v>209</v>
      </c>
      <c r="L18" s="58">
        <f>I16*K18</f>
        <v>2549.8</v>
      </c>
      <c r="M18" s="57" t="s">
        <v>28</v>
      </c>
      <c r="N18" s="23">
        <v>0</v>
      </c>
      <c r="O18" s="23">
        <v>21</v>
      </c>
      <c r="P18" s="23">
        <f t="shared" si="2"/>
        <v>188</v>
      </c>
      <c r="Q18" s="23">
        <v>4</v>
      </c>
      <c r="R18" s="23"/>
      <c r="T18" s="79"/>
    </row>
    <row r="19" spans="1:20" s="2" customFormat="true">
      <c r="A19" s="16"/>
      <c r="B19" s="16"/>
      <c r="C19" s="22"/>
      <c r="D19" s="22"/>
      <c r="E19" s="23"/>
      <c r="F19" s="23"/>
      <c r="G19" s="20"/>
      <c r="H19" s="21"/>
      <c r="I19" s="59"/>
      <c r="J19" s="57" t="s">
        <v>29</v>
      </c>
      <c r="K19" s="23">
        <v>264</v>
      </c>
      <c r="L19" s="58">
        <f>I16*K19</f>
        <v>3220.8</v>
      </c>
      <c r="M19" s="57" t="s">
        <v>29</v>
      </c>
      <c r="N19" s="23">
        <v>0</v>
      </c>
      <c r="O19" s="23">
        <v>14</v>
      </c>
      <c r="P19" s="23">
        <f t="shared" si="2"/>
        <v>250</v>
      </c>
      <c r="Q19" s="23">
        <v>3</v>
      </c>
      <c r="R19" s="23"/>
      <c r="T19" s="79"/>
    </row>
    <row r="20" spans="1:20" s="2" customFormat="true">
      <c r="A20" s="16"/>
      <c r="B20" s="16"/>
      <c r="C20" s="22"/>
      <c r="D20" s="22"/>
      <c r="E20" s="23"/>
      <c r="F20" s="23"/>
      <c r="G20" s="20"/>
      <c r="H20" s="21"/>
      <c r="I20" s="59"/>
      <c r="J20" s="57" t="s">
        <v>30</v>
      </c>
      <c r="K20" s="23">
        <v>96</v>
      </c>
      <c r="L20" s="58">
        <f>I16*K20</f>
        <v>1171.2</v>
      </c>
      <c r="M20" s="57" t="s">
        <v>30</v>
      </c>
      <c r="N20" s="23">
        <v>0</v>
      </c>
      <c r="O20" s="23">
        <v>10</v>
      </c>
      <c r="P20" s="23">
        <f t="shared" si="2"/>
        <v>86</v>
      </c>
      <c r="Q20" s="23">
        <v>0</v>
      </c>
      <c r="R20" s="23"/>
      <c r="T20" s="79"/>
    </row>
    <row r="21" spans="1:20" s="2" customFormat="true">
      <c r="A21" s="16"/>
      <c r="B21" s="16"/>
      <c r="C21" s="22"/>
      <c r="D21" s="22"/>
      <c r="E21" s="23"/>
      <c r="F21" s="23"/>
      <c r="G21" s="20"/>
      <c r="H21" s="21"/>
      <c r="I21" s="60"/>
      <c r="J21" s="23" t="s">
        <v>31</v>
      </c>
      <c r="K21" s="23">
        <v>87</v>
      </c>
      <c r="L21" s="58">
        <f>I16*K21</f>
        <v>1061.4</v>
      </c>
      <c r="M21" s="23" t="s">
        <v>31</v>
      </c>
      <c r="N21" s="23">
        <v>0</v>
      </c>
      <c r="O21" s="23">
        <v>11</v>
      </c>
      <c r="P21" s="23">
        <f t="shared" si="2"/>
        <v>76</v>
      </c>
      <c r="Q21" s="23">
        <v>1</v>
      </c>
      <c r="R21" s="23"/>
      <c r="T21" s="79"/>
    </row>
    <row r="22" spans="1:20" s="2" customFormat="true">
      <c r="A22" s="24"/>
      <c r="B22" s="24"/>
      <c r="C22" s="25"/>
      <c r="D22" s="25"/>
      <c r="E22" s="23"/>
      <c r="F22" s="23"/>
      <c r="G22" s="26"/>
      <c r="H22" s="27"/>
      <c r="I22" s="62"/>
      <c r="J22" s="61" t="s">
        <v>32</v>
      </c>
      <c r="K22" s="62">
        <f t="shared" ref="K22:N22" si="3">SUM(K16:K21)</f>
        <v>1005</v>
      </c>
      <c r="L22" s="63">
        <f t="shared" si="3"/>
        <v>12261</v>
      </c>
      <c r="M22" s="61" t="s">
        <v>32</v>
      </c>
      <c r="N22" s="62">
        <f t="shared" si="3"/>
        <v>0</v>
      </c>
      <c r="O22" s="62" cm="1">
        <f t="array" ref="O22">SUMPRODUCT(--(O16:O21))</f>
        <v>89</v>
      </c>
      <c r="P22" s="64" cm="1">
        <f t="array" ref="P22">SUMPRODUCT(--(P16:P21))</f>
        <v>916</v>
      </c>
      <c r="Q22" s="64">
        <f>SUM(Q16:Q21)</f>
        <v>11</v>
      </c>
      <c r="R22" s="64">
        <f>SUM(R16:R21)</f>
        <v>0</v>
      </c>
      <c r="T22" s="79"/>
    </row>
    <row r="23" spans="1:20" s="2" customFormat="true" ht="17.4" customHeight="true">
      <c r="A23" s="28"/>
      <c r="B23" s="29"/>
      <c r="C23" s="29"/>
      <c r="D23" s="29"/>
      <c r="E23" s="29"/>
      <c r="F23" s="29"/>
      <c r="G23" s="29"/>
      <c r="H23" s="29"/>
      <c r="I23" s="29"/>
      <c r="J23" s="29"/>
      <c r="K23" s="29"/>
      <c r="L23" s="29"/>
      <c r="M23" s="29"/>
      <c r="N23" s="29"/>
      <c r="O23" s="29"/>
      <c r="P23" s="29"/>
      <c r="Q23" s="65"/>
      <c r="R23" s="65"/>
      <c r="T23" s="79"/>
    </row>
    <row r="24" spans="1:20" s="1" customFormat="true" ht="10.95" customHeight="true">
      <c r="A24" s="7" t="s">
        <v>3</v>
      </c>
      <c r="B24" s="30" t="s">
        <v>4</v>
      </c>
      <c r="C24" s="30" t="s">
        <v>55</v>
      </c>
      <c r="D24" s="30" t="s">
        <v>6</v>
      </c>
      <c r="E24" s="30" t="s">
        <v>7</v>
      </c>
      <c r="F24" s="30" t="s">
        <v>8</v>
      </c>
      <c r="G24" s="30" t="s">
        <v>9</v>
      </c>
      <c r="H24" s="30"/>
      <c r="I24" s="7" t="s">
        <v>10</v>
      </c>
      <c r="J24" s="7" t="s">
        <v>11</v>
      </c>
      <c r="K24" s="8" t="s">
        <v>12</v>
      </c>
      <c r="L24" s="9"/>
      <c r="M24" s="7" t="s">
        <v>11</v>
      </c>
      <c r="N24" s="52" t="s">
        <v>13</v>
      </c>
      <c r="O24" s="52"/>
      <c r="P24" s="9"/>
      <c r="Q24" s="9" t="s">
        <v>14</v>
      </c>
      <c r="R24" s="9" t="s">
        <v>15</v>
      </c>
      <c r="T24" s="78"/>
    </row>
    <row r="25" spans="1:20" s="1" customFormat="true" ht="16.05" customHeight="true">
      <c r="A25" s="10"/>
      <c r="B25" s="30"/>
      <c r="C25" s="30"/>
      <c r="D25" s="30"/>
      <c r="E25" s="30"/>
      <c r="F25" s="30"/>
      <c r="G25" s="30"/>
      <c r="H25" s="30"/>
      <c r="I25" s="10"/>
      <c r="J25" s="10"/>
      <c r="K25" s="14"/>
      <c r="L25" s="15"/>
      <c r="M25" s="10"/>
      <c r="N25" s="53"/>
      <c r="O25" s="53"/>
      <c r="P25" s="15"/>
      <c r="Q25" s="15"/>
      <c r="R25" s="15"/>
      <c r="T25" s="78"/>
    </row>
    <row r="26" spans="1:20" s="1" customFormat="true" ht="28.95" customHeight="true">
      <c r="A26" s="13"/>
      <c r="B26" s="30"/>
      <c r="C26" s="30"/>
      <c r="D26" s="30"/>
      <c r="E26" s="30"/>
      <c r="F26" s="30"/>
      <c r="G26" s="30"/>
      <c r="H26" s="30"/>
      <c r="I26" s="13"/>
      <c r="J26" s="13"/>
      <c r="K26" s="54" t="s">
        <v>16</v>
      </c>
      <c r="L26" s="55" t="s">
        <v>17</v>
      </c>
      <c r="M26" s="13"/>
      <c r="N26" s="55" t="s">
        <v>18</v>
      </c>
      <c r="O26" s="55" t="s">
        <v>19</v>
      </c>
      <c r="P26" s="55" t="s">
        <v>20</v>
      </c>
      <c r="Q26" s="55" t="s">
        <v>21</v>
      </c>
      <c r="R26" s="55" t="s">
        <v>22</v>
      </c>
      <c r="T26" s="78"/>
    </row>
    <row r="27" spans="1:20" s="2" customFormat="true" ht="13.95" customHeight="true">
      <c r="A27" s="16">
        <v>3</v>
      </c>
      <c r="B27" s="17" t="str">
        <f>=DISPIMG("ID_1333108F0DE2430D81571FEEE31C0870",1)</f>
        <v>=DISPIMG("ID_1333108F0DE2430D81571FEEE31C0870",1)</v>
      </c>
      <c r="C27" s="18" t="s">
        <v>193</v>
      </c>
      <c r="D27" s="18" t="s">
        <v>191</v>
      </c>
      <c r="E27" s="19"/>
      <c r="F27" s="19"/>
      <c r="G27" s="20" t="s">
        <v>73</v>
      </c>
      <c r="H27" s="21" t="str">
        <f>=DISPIMG("ID_024F7F6561E048C68CA3670494339A8B",1)</f>
        <v>=DISPIMG("ID_024F7F6561E048C68CA3670494339A8B",1)</v>
      </c>
      <c r="I27" s="56">
        <v>12.2</v>
      </c>
      <c r="J27" s="57" t="s">
        <v>26</v>
      </c>
      <c r="K27" s="23">
        <v>3</v>
      </c>
      <c r="L27" s="58">
        <f>I27*K27</f>
        <v>36.6</v>
      </c>
      <c r="M27" s="57" t="s">
        <v>26</v>
      </c>
      <c r="N27" s="23">
        <v>0</v>
      </c>
      <c r="O27" s="23">
        <v>4</v>
      </c>
      <c r="P27" s="23">
        <f t="shared" ref="P27:P32" si="4">MAX(0,K27-O27)</f>
        <v>0</v>
      </c>
      <c r="Q27" s="23">
        <v>1</v>
      </c>
      <c r="R27" s="23"/>
      <c r="T27" s="79"/>
    </row>
    <row r="28" spans="1:20" s="2" customFormat="true">
      <c r="A28" s="16"/>
      <c r="B28" s="16"/>
      <c r="C28" s="22"/>
      <c r="D28" s="22"/>
      <c r="E28" s="23"/>
      <c r="F28" s="23"/>
      <c r="G28" s="20"/>
      <c r="H28" s="21"/>
      <c r="I28" s="59"/>
      <c r="J28" s="57" t="s">
        <v>27</v>
      </c>
      <c r="K28" s="23">
        <v>18</v>
      </c>
      <c r="L28" s="58">
        <f>I27*K28</f>
        <v>219.6</v>
      </c>
      <c r="M28" s="57" t="s">
        <v>27</v>
      </c>
      <c r="N28" s="23">
        <v>0</v>
      </c>
      <c r="O28" s="23">
        <v>22</v>
      </c>
      <c r="P28" s="23">
        <f t="shared" si="4"/>
        <v>0</v>
      </c>
      <c r="Q28" s="23">
        <v>4</v>
      </c>
      <c r="R28" s="23"/>
      <c r="T28" s="79"/>
    </row>
    <row r="29" spans="1:20" s="2" customFormat="true">
      <c r="A29" s="16"/>
      <c r="B29" s="16"/>
      <c r="C29" s="22"/>
      <c r="D29" s="22"/>
      <c r="E29" s="23"/>
      <c r="F29" s="23"/>
      <c r="G29" s="20"/>
      <c r="H29" s="21"/>
      <c r="I29" s="59"/>
      <c r="J29" s="57" t="s">
        <v>28</v>
      </c>
      <c r="K29" s="23">
        <v>34</v>
      </c>
      <c r="L29" s="58">
        <f>I27*K29</f>
        <v>414.8</v>
      </c>
      <c r="M29" s="57" t="s">
        <v>28</v>
      </c>
      <c r="N29" s="23">
        <v>0</v>
      </c>
      <c r="O29" s="23">
        <v>40</v>
      </c>
      <c r="P29" s="23">
        <f t="shared" si="4"/>
        <v>0</v>
      </c>
      <c r="Q29" s="23">
        <v>9</v>
      </c>
      <c r="R29" s="23"/>
      <c r="T29" s="79"/>
    </row>
    <row r="30" spans="1:20" s="2" customFormat="true">
      <c r="A30" s="16"/>
      <c r="B30" s="16"/>
      <c r="C30" s="22"/>
      <c r="D30" s="22"/>
      <c r="E30" s="23"/>
      <c r="F30" s="23"/>
      <c r="G30" s="20"/>
      <c r="H30" s="21"/>
      <c r="I30" s="59"/>
      <c r="J30" s="57" t="s">
        <v>29</v>
      </c>
      <c r="K30" s="23">
        <v>20</v>
      </c>
      <c r="L30" s="58">
        <f>I27*K30</f>
        <v>244</v>
      </c>
      <c r="M30" s="57" t="s">
        <v>29</v>
      </c>
      <c r="N30" s="23">
        <v>0</v>
      </c>
      <c r="O30" s="23">
        <v>21</v>
      </c>
      <c r="P30" s="23">
        <f t="shared" si="4"/>
        <v>0</v>
      </c>
      <c r="Q30" s="23">
        <v>2</v>
      </c>
      <c r="R30" s="23"/>
      <c r="T30" s="79"/>
    </row>
    <row r="31" spans="1:20" s="2" customFormat="true">
      <c r="A31" s="16"/>
      <c r="B31" s="16"/>
      <c r="C31" s="22"/>
      <c r="D31" s="22"/>
      <c r="E31" s="23"/>
      <c r="F31" s="23"/>
      <c r="G31" s="20"/>
      <c r="H31" s="21"/>
      <c r="I31" s="59"/>
      <c r="J31" s="57" t="s">
        <v>30</v>
      </c>
      <c r="K31" s="23">
        <v>10</v>
      </c>
      <c r="L31" s="58">
        <f>I27*K31</f>
        <v>122</v>
      </c>
      <c r="M31" s="57" t="s">
        <v>30</v>
      </c>
      <c r="N31" s="23">
        <v>0</v>
      </c>
      <c r="O31" s="23">
        <v>10</v>
      </c>
      <c r="P31" s="23">
        <f t="shared" si="4"/>
        <v>0</v>
      </c>
      <c r="Q31" s="23">
        <v>0</v>
      </c>
      <c r="R31" s="23"/>
      <c r="T31" s="79"/>
    </row>
    <row r="32" spans="1:20" s="2" customFormat="true">
      <c r="A32" s="16"/>
      <c r="B32" s="16"/>
      <c r="C32" s="22"/>
      <c r="D32" s="22"/>
      <c r="E32" s="23"/>
      <c r="F32" s="23"/>
      <c r="G32" s="20"/>
      <c r="H32" s="21"/>
      <c r="I32" s="60"/>
      <c r="J32" s="23" t="s">
        <v>31</v>
      </c>
      <c r="K32" s="23">
        <v>3</v>
      </c>
      <c r="L32" s="58">
        <f>I27*K32</f>
        <v>36.6</v>
      </c>
      <c r="M32" s="23" t="s">
        <v>31</v>
      </c>
      <c r="N32" s="23">
        <v>0</v>
      </c>
      <c r="O32" s="23">
        <v>4</v>
      </c>
      <c r="P32" s="23">
        <f t="shared" si="4"/>
        <v>0</v>
      </c>
      <c r="Q32" s="23">
        <v>1</v>
      </c>
      <c r="R32" s="23"/>
      <c r="T32" s="79"/>
    </row>
    <row r="33" spans="1:20" s="2" customFormat="true">
      <c r="A33" s="24"/>
      <c r="B33" s="24"/>
      <c r="C33" s="25"/>
      <c r="D33" s="25"/>
      <c r="E33" s="23"/>
      <c r="F33" s="23"/>
      <c r="G33" s="26"/>
      <c r="H33" s="27"/>
      <c r="I33" s="62"/>
      <c r="J33" s="61" t="s">
        <v>32</v>
      </c>
      <c r="K33" s="62">
        <f t="shared" ref="K33:N33" si="5">SUM(K27:K32)</f>
        <v>88</v>
      </c>
      <c r="L33" s="63">
        <f t="shared" si="5"/>
        <v>1073.6</v>
      </c>
      <c r="M33" s="61" t="s">
        <v>32</v>
      </c>
      <c r="N33" s="62">
        <f t="shared" si="5"/>
        <v>0</v>
      </c>
      <c r="O33" s="62" cm="1">
        <f t="array" ref="O33">SUMPRODUCT(--(O27:O32))</f>
        <v>101</v>
      </c>
      <c r="P33" s="64" cm="1">
        <f t="array" ref="P33">SUMPRODUCT(--(P27:P32))</f>
        <v>0</v>
      </c>
      <c r="Q33" s="64">
        <f>SUM(Q27:Q32)</f>
        <v>17</v>
      </c>
      <c r="R33" s="64">
        <f>SUM(R27:R32)</f>
        <v>0</v>
      </c>
      <c r="T33" s="79"/>
    </row>
    <row r="34" spans="1:20" s="2" customFormat="true" ht="17.4" customHeight="true">
      <c r="A34" s="28"/>
      <c r="B34" s="29"/>
      <c r="C34" s="29"/>
      <c r="D34" s="29"/>
      <c r="E34" s="29"/>
      <c r="F34" s="29"/>
      <c r="G34" s="29"/>
      <c r="H34" s="29"/>
      <c r="I34" s="29"/>
      <c r="J34" s="29"/>
      <c r="K34" s="29"/>
      <c r="L34" s="29"/>
      <c r="M34" s="29"/>
      <c r="N34" s="29"/>
      <c r="O34" s="29"/>
      <c r="P34" s="29"/>
      <c r="Q34" s="29"/>
      <c r="R34" s="29"/>
      <c r="T34" s="79"/>
    </row>
    <row r="35" spans="1:20" s="1" customFormat="true" ht="10.95" customHeight="true">
      <c r="A35" s="7" t="s">
        <v>3</v>
      </c>
      <c r="B35" s="30" t="s">
        <v>4</v>
      </c>
      <c r="C35" s="30" t="s">
        <v>55</v>
      </c>
      <c r="D35" s="30" t="s">
        <v>6</v>
      </c>
      <c r="E35" s="30" t="s">
        <v>7</v>
      </c>
      <c r="F35" s="30" t="s">
        <v>8</v>
      </c>
      <c r="G35" s="30" t="s">
        <v>9</v>
      </c>
      <c r="H35" s="30"/>
      <c r="I35" s="7" t="s">
        <v>10</v>
      </c>
      <c r="J35" s="7" t="s">
        <v>11</v>
      </c>
      <c r="K35" s="8" t="s">
        <v>12</v>
      </c>
      <c r="L35" s="9"/>
      <c r="M35" s="7" t="s">
        <v>11</v>
      </c>
      <c r="N35" s="52" t="s">
        <v>13</v>
      </c>
      <c r="O35" s="52"/>
      <c r="P35" s="9"/>
      <c r="Q35" s="9" t="s">
        <v>14</v>
      </c>
      <c r="R35" s="9" t="s">
        <v>15</v>
      </c>
      <c r="T35" s="78"/>
    </row>
    <row r="36" spans="1:20" s="1" customFormat="true" ht="16.05" customHeight="true">
      <c r="A36" s="10"/>
      <c r="B36" s="30"/>
      <c r="C36" s="30"/>
      <c r="D36" s="30"/>
      <c r="E36" s="30"/>
      <c r="F36" s="30"/>
      <c r="G36" s="30"/>
      <c r="H36" s="30"/>
      <c r="I36" s="10"/>
      <c r="J36" s="10"/>
      <c r="K36" s="14"/>
      <c r="L36" s="15"/>
      <c r="M36" s="10"/>
      <c r="N36" s="53"/>
      <c r="O36" s="53"/>
      <c r="P36" s="15"/>
      <c r="Q36" s="15"/>
      <c r="R36" s="15"/>
      <c r="T36" s="78"/>
    </row>
    <row r="37" spans="1:20" s="1" customFormat="true" ht="28.95" customHeight="true">
      <c r="A37" s="13"/>
      <c r="B37" s="30"/>
      <c r="C37" s="30"/>
      <c r="D37" s="30"/>
      <c r="E37" s="30"/>
      <c r="F37" s="30"/>
      <c r="G37" s="30"/>
      <c r="H37" s="30"/>
      <c r="I37" s="13"/>
      <c r="J37" s="13"/>
      <c r="K37" s="54" t="s">
        <v>16</v>
      </c>
      <c r="L37" s="55" t="s">
        <v>17</v>
      </c>
      <c r="M37" s="13"/>
      <c r="N37" s="55" t="s">
        <v>18</v>
      </c>
      <c r="O37" s="55" t="s">
        <v>19</v>
      </c>
      <c r="P37" s="55" t="s">
        <v>20</v>
      </c>
      <c r="Q37" s="55" t="s">
        <v>21</v>
      </c>
      <c r="R37" s="55" t="s">
        <v>22</v>
      </c>
      <c r="T37" s="78"/>
    </row>
    <row r="38" spans="1:20" s="2" customFormat="true" ht="13.95" customHeight="true">
      <c r="A38" s="16">
        <v>4</v>
      </c>
      <c r="B38" s="17" t="str">
        <f>=DISPIMG("ID_DEA1D1B15C5D4A669BD2A9FA9D9373C7",1)</f>
        <v>=DISPIMG("ID_DEA1D1B15C5D4A669BD2A9FA9D9373C7",1)</v>
      </c>
      <c r="C38" s="18" t="s">
        <v>194</v>
      </c>
      <c r="D38" s="18" t="s">
        <v>191</v>
      </c>
      <c r="E38" s="19"/>
      <c r="F38" s="19"/>
      <c r="G38" s="20" t="s">
        <v>42</v>
      </c>
      <c r="H38" s="21" t="str">
        <f>=DISPIMG("ID_8F380A1AC5504443BC46A8ABA2178AB0",1)</f>
        <v>=DISPIMG("ID_8F380A1AC5504443BC46A8ABA2178AB0",1)</v>
      </c>
      <c r="I38" s="56">
        <v>12.2</v>
      </c>
      <c r="J38" s="57" t="s">
        <v>26</v>
      </c>
      <c r="K38" s="23">
        <v>88</v>
      </c>
      <c r="L38" s="58">
        <f>I38*K38</f>
        <v>1073.6</v>
      </c>
      <c r="M38" s="57" t="s">
        <v>26</v>
      </c>
      <c r="N38" s="23">
        <v>0</v>
      </c>
      <c r="O38" s="23">
        <v>12</v>
      </c>
      <c r="P38" s="23">
        <f t="shared" ref="P38:P43" si="6">MAX(0,K38-O38)</f>
        <v>76</v>
      </c>
      <c r="Q38" s="23">
        <v>2</v>
      </c>
      <c r="R38" s="23"/>
      <c r="T38" s="79"/>
    </row>
    <row r="39" spans="1:20" s="2" customFormat="true">
      <c r="A39" s="16"/>
      <c r="B39" s="16"/>
      <c r="C39" s="22"/>
      <c r="D39" s="22"/>
      <c r="E39" s="23"/>
      <c r="F39" s="23"/>
      <c r="G39" s="20"/>
      <c r="H39" s="21"/>
      <c r="I39" s="59"/>
      <c r="J39" s="57" t="s">
        <v>27</v>
      </c>
      <c r="K39" s="23">
        <v>108</v>
      </c>
      <c r="L39" s="58">
        <f>I38*K39</f>
        <v>1317.6</v>
      </c>
      <c r="M39" s="57" t="s">
        <v>27</v>
      </c>
      <c r="N39" s="23">
        <v>0</v>
      </c>
      <c r="O39" s="23">
        <v>19</v>
      </c>
      <c r="P39" s="23">
        <f t="shared" si="6"/>
        <v>89</v>
      </c>
      <c r="Q39" s="23">
        <v>6</v>
      </c>
      <c r="R39" s="23"/>
      <c r="T39" s="79"/>
    </row>
    <row r="40" spans="1:20" s="2" customFormat="true">
      <c r="A40" s="16"/>
      <c r="B40" s="16"/>
      <c r="C40" s="22"/>
      <c r="D40" s="22"/>
      <c r="E40" s="23"/>
      <c r="F40" s="23"/>
      <c r="G40" s="20"/>
      <c r="H40" s="21"/>
      <c r="I40" s="59"/>
      <c r="J40" s="57" t="s">
        <v>28</v>
      </c>
      <c r="K40" s="23">
        <v>129</v>
      </c>
      <c r="L40" s="58">
        <f>I38*K40</f>
        <v>1573.8</v>
      </c>
      <c r="M40" s="57" t="s">
        <v>28</v>
      </c>
      <c r="N40" s="23">
        <v>0</v>
      </c>
      <c r="O40" s="23">
        <v>19</v>
      </c>
      <c r="P40" s="23">
        <f t="shared" si="6"/>
        <v>110</v>
      </c>
      <c r="Q40" s="23">
        <v>8</v>
      </c>
      <c r="R40" s="23"/>
      <c r="T40" s="79"/>
    </row>
    <row r="41" spans="1:20" s="2" customFormat="true">
      <c r="A41" s="16"/>
      <c r="B41" s="16"/>
      <c r="C41" s="22"/>
      <c r="D41" s="22"/>
      <c r="E41" s="23"/>
      <c r="F41" s="23"/>
      <c r="G41" s="20"/>
      <c r="H41" s="21"/>
      <c r="I41" s="59"/>
      <c r="J41" s="57" t="s">
        <v>29</v>
      </c>
      <c r="K41" s="23">
        <v>109</v>
      </c>
      <c r="L41" s="58">
        <f>I38*K41</f>
        <v>1329.8</v>
      </c>
      <c r="M41" s="57" t="s">
        <v>29</v>
      </c>
      <c r="N41" s="23">
        <v>0</v>
      </c>
      <c r="O41" s="23">
        <v>10</v>
      </c>
      <c r="P41" s="23">
        <f t="shared" si="6"/>
        <v>99</v>
      </c>
      <c r="Q41" s="23">
        <v>4</v>
      </c>
      <c r="R41" s="23"/>
      <c r="T41" s="79"/>
    </row>
    <row r="42" spans="1:20" s="2" customFormat="true">
      <c r="A42" s="16"/>
      <c r="B42" s="16"/>
      <c r="C42" s="22"/>
      <c r="D42" s="22"/>
      <c r="E42" s="23"/>
      <c r="F42" s="23"/>
      <c r="G42" s="20"/>
      <c r="H42" s="21"/>
      <c r="I42" s="59"/>
      <c r="J42" s="57" t="s">
        <v>30</v>
      </c>
      <c r="K42" s="23">
        <v>96</v>
      </c>
      <c r="L42" s="58">
        <f>I38*K42</f>
        <v>1171.2</v>
      </c>
      <c r="M42" s="57" t="s">
        <v>30</v>
      </c>
      <c r="N42" s="23">
        <v>0</v>
      </c>
      <c r="O42" s="23">
        <v>7</v>
      </c>
      <c r="P42" s="23">
        <f t="shared" si="6"/>
        <v>89</v>
      </c>
      <c r="Q42" s="23">
        <v>2</v>
      </c>
      <c r="R42" s="23"/>
      <c r="T42" s="79"/>
    </row>
    <row r="43" spans="1:20" s="2" customFormat="true">
      <c r="A43" s="16"/>
      <c r="B43" s="16"/>
      <c r="C43" s="22"/>
      <c r="D43" s="22"/>
      <c r="E43" s="23"/>
      <c r="F43" s="23"/>
      <c r="G43" s="20"/>
      <c r="H43" s="21"/>
      <c r="I43" s="60"/>
      <c r="J43" s="23" t="s">
        <v>31</v>
      </c>
      <c r="K43" s="23">
        <v>9</v>
      </c>
      <c r="L43" s="58">
        <f>I38*K43</f>
        <v>109.8</v>
      </c>
      <c r="M43" s="23" t="s">
        <v>31</v>
      </c>
      <c r="N43" s="23">
        <v>0</v>
      </c>
      <c r="O43" s="23">
        <v>10</v>
      </c>
      <c r="P43" s="23">
        <f t="shared" si="6"/>
        <v>0</v>
      </c>
      <c r="Q43" s="23">
        <v>4</v>
      </c>
      <c r="R43" s="23"/>
      <c r="T43" s="79"/>
    </row>
    <row r="44" spans="1:20" s="2" customFormat="true">
      <c r="A44" s="24"/>
      <c r="B44" s="24"/>
      <c r="C44" s="25"/>
      <c r="D44" s="25"/>
      <c r="E44" s="23"/>
      <c r="F44" s="23"/>
      <c r="G44" s="26"/>
      <c r="H44" s="27"/>
      <c r="I44" s="62"/>
      <c r="J44" s="61" t="s">
        <v>32</v>
      </c>
      <c r="K44" s="62">
        <f t="shared" ref="K44:N44" si="7">SUM(K38:K43)</f>
        <v>539</v>
      </c>
      <c r="L44" s="63">
        <f t="shared" si="7"/>
        <v>6575.8</v>
      </c>
      <c r="M44" s="61" t="s">
        <v>32</v>
      </c>
      <c r="N44" s="62">
        <f t="shared" si="7"/>
        <v>0</v>
      </c>
      <c r="O44" s="62" cm="1">
        <f t="array" ref="O44">SUMPRODUCT(--(O38:O43))</f>
        <v>77</v>
      </c>
      <c r="P44" s="64" cm="1">
        <f t="array" ref="P44">SUMPRODUCT(--(P38:P43))</f>
        <v>463</v>
      </c>
      <c r="Q44" s="64">
        <f>SUM(Q38:Q43)</f>
        <v>26</v>
      </c>
      <c r="R44" s="64">
        <f>SUM(R38:R43)</f>
        <v>0</v>
      </c>
      <c r="T44" s="79"/>
    </row>
    <row r="45" spans="1:20" s="2" customFormat="true" ht="17.4" customHeight="true">
      <c r="A45" s="28"/>
      <c r="B45" s="29"/>
      <c r="C45" s="29"/>
      <c r="D45" s="29"/>
      <c r="E45" s="29"/>
      <c r="F45" s="29"/>
      <c r="G45" s="29"/>
      <c r="H45" s="29"/>
      <c r="I45" s="29"/>
      <c r="J45" s="29"/>
      <c r="K45" s="29"/>
      <c r="L45" s="29"/>
      <c r="M45" s="29"/>
      <c r="N45" s="29"/>
      <c r="O45" s="29"/>
      <c r="P45" s="29"/>
      <c r="T45" s="79"/>
    </row>
    <row r="46" spans="1:20" s="1" customFormat="true" ht="10.95" customHeight="true">
      <c r="A46" s="7" t="s">
        <v>3</v>
      </c>
      <c r="B46" s="30"/>
      <c r="C46" s="30" t="s">
        <v>55</v>
      </c>
      <c r="D46" s="30" t="s">
        <v>6</v>
      </c>
      <c r="E46" s="30" t="s">
        <v>7</v>
      </c>
      <c r="F46" s="30" t="s">
        <v>8</v>
      </c>
      <c r="G46" s="30" t="s">
        <v>9</v>
      </c>
      <c r="H46" s="30"/>
      <c r="I46" s="7" t="s">
        <v>10</v>
      </c>
      <c r="J46" s="7" t="s">
        <v>11</v>
      </c>
      <c r="K46" s="8" t="s">
        <v>12</v>
      </c>
      <c r="L46" s="9"/>
      <c r="M46" s="7" t="s">
        <v>11</v>
      </c>
      <c r="N46" s="52" t="s">
        <v>13</v>
      </c>
      <c r="O46" s="52"/>
      <c r="P46" s="9"/>
      <c r="Q46" s="9" t="s">
        <v>14</v>
      </c>
      <c r="R46" s="9" t="s">
        <v>15</v>
      </c>
      <c r="T46" s="78"/>
    </row>
    <row r="47" spans="1:20" s="1" customFormat="true" ht="16.05" customHeight="true">
      <c r="A47" s="10"/>
      <c r="B47" s="30"/>
      <c r="C47" s="30"/>
      <c r="D47" s="30"/>
      <c r="E47" s="30"/>
      <c r="F47" s="30"/>
      <c r="G47" s="30"/>
      <c r="H47" s="30"/>
      <c r="I47" s="10"/>
      <c r="J47" s="10"/>
      <c r="K47" s="14"/>
      <c r="L47" s="15"/>
      <c r="M47" s="10"/>
      <c r="N47" s="53"/>
      <c r="O47" s="53"/>
      <c r="P47" s="15"/>
      <c r="Q47" s="15"/>
      <c r="R47" s="15"/>
      <c r="T47" s="78"/>
    </row>
    <row r="48" spans="1:20" s="1" customFormat="true" ht="28.95" customHeight="true">
      <c r="A48" s="13"/>
      <c r="B48" s="30"/>
      <c r="C48" s="30"/>
      <c r="D48" s="30"/>
      <c r="E48" s="30"/>
      <c r="F48" s="30"/>
      <c r="G48" s="30"/>
      <c r="H48" s="30"/>
      <c r="I48" s="13"/>
      <c r="J48" s="13"/>
      <c r="K48" s="54" t="s">
        <v>16</v>
      </c>
      <c r="L48" s="55" t="s">
        <v>17</v>
      </c>
      <c r="M48" s="13"/>
      <c r="N48" s="55" t="s">
        <v>18</v>
      </c>
      <c r="O48" s="55" t="s">
        <v>19</v>
      </c>
      <c r="P48" s="55" t="s">
        <v>20</v>
      </c>
      <c r="Q48" s="55" t="s">
        <v>21</v>
      </c>
      <c r="R48" s="55" t="s">
        <v>22</v>
      </c>
      <c r="T48" s="78"/>
    </row>
    <row r="49" spans="1:20" s="2" customFormat="true" ht="13.95" customHeight="true">
      <c r="A49" s="16">
        <v>5</v>
      </c>
      <c r="B49" s="17" t="str">
        <f>=DISPIMG("ID_DD2AC681095944C49859DC0FE8033712",1)</f>
        <v>=DISPIMG("ID_DD2AC681095944C49859DC0FE8033712",1)</v>
      </c>
      <c r="C49" s="18" t="s">
        <v>195</v>
      </c>
      <c r="D49" s="18" t="s">
        <v>191</v>
      </c>
      <c r="E49" s="19"/>
      <c r="F49" s="19"/>
      <c r="G49" s="20" t="s">
        <v>44</v>
      </c>
      <c r="H49" s="21" t="str">
        <f>=DISPIMG("ID_0293475F78A04F828AECCBA67FFF0ED6",1)</f>
        <v>=DISPIMG("ID_0293475F78A04F828AECCBA67FFF0ED6",1)</v>
      </c>
      <c r="I49" s="56">
        <v>12.2</v>
      </c>
      <c r="J49" s="57" t="s">
        <v>26</v>
      </c>
      <c r="K49" s="23">
        <v>90</v>
      </c>
      <c r="L49" s="58">
        <f>I49*K49</f>
        <v>1098</v>
      </c>
      <c r="M49" s="57" t="s">
        <v>26</v>
      </c>
      <c r="N49" s="23">
        <v>0</v>
      </c>
      <c r="O49" s="23">
        <v>19</v>
      </c>
      <c r="P49" s="23">
        <f t="shared" ref="P49:P54" si="8">MAX(0,K49-O49)</f>
        <v>71</v>
      </c>
      <c r="Q49" s="23">
        <v>7</v>
      </c>
      <c r="R49" s="23"/>
      <c r="T49" s="79"/>
    </row>
    <row r="50" spans="1:20" s="2" customFormat="true">
      <c r="A50" s="16"/>
      <c r="B50" s="16"/>
      <c r="C50" s="22"/>
      <c r="D50" s="22"/>
      <c r="E50" s="23"/>
      <c r="F50" s="23"/>
      <c r="G50" s="20"/>
      <c r="H50" s="21"/>
      <c r="I50" s="59"/>
      <c r="J50" s="57" t="s">
        <v>27</v>
      </c>
      <c r="K50" s="23">
        <v>267</v>
      </c>
      <c r="L50" s="58">
        <f>I49*K50</f>
        <v>3257.4</v>
      </c>
      <c r="M50" s="57" t="s">
        <v>27</v>
      </c>
      <c r="N50" s="23">
        <v>0</v>
      </c>
      <c r="O50" s="23">
        <v>34</v>
      </c>
      <c r="P50" s="23">
        <f t="shared" si="8"/>
        <v>233</v>
      </c>
      <c r="Q50" s="23">
        <v>9</v>
      </c>
      <c r="R50" s="23"/>
      <c r="T50" s="79"/>
    </row>
    <row r="51" spans="1:20" s="2" customFormat="true">
      <c r="A51" s="16"/>
      <c r="B51" s="16"/>
      <c r="C51" s="22"/>
      <c r="D51" s="22"/>
      <c r="E51" s="23"/>
      <c r="F51" s="23"/>
      <c r="G51" s="20"/>
      <c r="H51" s="21"/>
      <c r="I51" s="59"/>
      <c r="J51" s="57" t="s">
        <v>28</v>
      </c>
      <c r="K51" s="23">
        <v>292</v>
      </c>
      <c r="L51" s="58">
        <f>I49*K51</f>
        <v>3562.4</v>
      </c>
      <c r="M51" s="57" t="s">
        <v>28</v>
      </c>
      <c r="N51" s="23">
        <v>0</v>
      </c>
      <c r="O51" s="23">
        <v>25</v>
      </c>
      <c r="P51" s="23">
        <f t="shared" si="8"/>
        <v>267</v>
      </c>
      <c r="Q51" s="23">
        <v>9</v>
      </c>
      <c r="R51" s="23"/>
      <c r="T51" s="79"/>
    </row>
    <row r="52" spans="1:20" s="2" customFormat="true">
      <c r="A52" s="16"/>
      <c r="B52" s="16"/>
      <c r="C52" s="22"/>
      <c r="D52" s="22"/>
      <c r="E52" s="23"/>
      <c r="F52" s="23"/>
      <c r="G52" s="20"/>
      <c r="H52" s="21"/>
      <c r="I52" s="59"/>
      <c r="J52" s="57" t="s">
        <v>29</v>
      </c>
      <c r="K52" s="23">
        <v>270</v>
      </c>
      <c r="L52" s="58">
        <f>I49*K52</f>
        <v>3294</v>
      </c>
      <c r="M52" s="57" t="s">
        <v>29</v>
      </c>
      <c r="N52" s="23">
        <v>0</v>
      </c>
      <c r="O52" s="23">
        <v>19</v>
      </c>
      <c r="P52" s="23">
        <f t="shared" si="8"/>
        <v>251</v>
      </c>
      <c r="Q52" s="23">
        <v>6</v>
      </c>
      <c r="R52" s="23"/>
      <c r="T52" s="79"/>
    </row>
    <row r="53" spans="1:20" s="2" customFormat="true">
      <c r="A53" s="16"/>
      <c r="B53" s="16"/>
      <c r="C53" s="22"/>
      <c r="D53" s="22"/>
      <c r="E53" s="23"/>
      <c r="F53" s="23"/>
      <c r="G53" s="20"/>
      <c r="H53" s="21"/>
      <c r="I53" s="59"/>
      <c r="J53" s="57" t="s">
        <v>30</v>
      </c>
      <c r="K53" s="23">
        <v>100</v>
      </c>
      <c r="L53" s="58">
        <f>I49*K53</f>
        <v>1220</v>
      </c>
      <c r="M53" s="57" t="s">
        <v>30</v>
      </c>
      <c r="N53" s="23">
        <v>0</v>
      </c>
      <c r="O53" s="23">
        <v>7</v>
      </c>
      <c r="P53" s="23">
        <f t="shared" si="8"/>
        <v>93</v>
      </c>
      <c r="Q53" s="23">
        <v>0</v>
      </c>
      <c r="R53" s="23"/>
      <c r="T53" s="79"/>
    </row>
    <row r="54" spans="1:20" s="2" customFormat="true">
      <c r="A54" s="16"/>
      <c r="B54" s="16"/>
      <c r="C54" s="22"/>
      <c r="D54" s="22"/>
      <c r="E54" s="23"/>
      <c r="F54" s="23"/>
      <c r="G54" s="20"/>
      <c r="H54" s="21"/>
      <c r="I54" s="60"/>
      <c r="J54" s="23" t="s">
        <v>31</v>
      </c>
      <c r="K54" s="23">
        <v>86</v>
      </c>
      <c r="L54" s="58">
        <f>I49*K54</f>
        <v>1049.2</v>
      </c>
      <c r="M54" s="23" t="s">
        <v>31</v>
      </c>
      <c r="N54" s="23">
        <v>0</v>
      </c>
      <c r="O54" s="23">
        <v>12</v>
      </c>
      <c r="P54" s="23">
        <f t="shared" si="8"/>
        <v>74</v>
      </c>
      <c r="Q54" s="23">
        <v>1</v>
      </c>
      <c r="R54" s="23"/>
      <c r="T54" s="79"/>
    </row>
    <row r="55" spans="1:20" s="2" customFormat="true">
      <c r="A55" s="24"/>
      <c r="B55" s="24"/>
      <c r="C55" s="25"/>
      <c r="D55" s="25"/>
      <c r="E55" s="23"/>
      <c r="F55" s="23"/>
      <c r="G55" s="26"/>
      <c r="H55" s="27"/>
      <c r="I55" s="62"/>
      <c r="J55" s="61" t="s">
        <v>32</v>
      </c>
      <c r="K55" s="62">
        <f t="shared" ref="K55:N55" si="9">SUM(K49:K54)</f>
        <v>1105</v>
      </c>
      <c r="L55" s="63">
        <f t="shared" si="9"/>
        <v>13481</v>
      </c>
      <c r="M55" s="61" t="s">
        <v>32</v>
      </c>
      <c r="N55" s="62">
        <f t="shared" si="9"/>
        <v>0</v>
      </c>
      <c r="O55" s="62" cm="1">
        <f t="array" ref="O55">SUMPRODUCT(--(O49:O54))</f>
        <v>116</v>
      </c>
      <c r="P55" s="64" cm="1">
        <f t="array" ref="P55">SUMPRODUCT(--(P49:P54))</f>
        <v>989</v>
      </c>
      <c r="Q55" s="64">
        <f>SUM(Q49:Q54)</f>
        <v>32</v>
      </c>
      <c r="R55" s="64">
        <f>SUM(R49:R54)</f>
        <v>0</v>
      </c>
      <c r="T55" s="79"/>
    </row>
    <row r="56" spans="1:16" s="3" customFormat="true">
      <c r="A56" s="4"/>
      <c r="B56" s="4"/>
      <c r="C56" s="31"/>
      <c r="D56" s="31"/>
      <c r="E56" s="31"/>
      <c r="F56" s="31"/>
      <c r="G56" s="31"/>
      <c r="H56" s="31"/>
      <c r="I56" s="65"/>
      <c r="J56" s="31"/>
      <c r="K56" s="65"/>
      <c r="L56" s="65"/>
      <c r="M56" s="31"/>
      <c r="N56" s="65"/>
      <c r="O56" s="65"/>
      <c r="P56" s="65"/>
    </row>
    <row r="57"/>
    <row r="58" spans="1:14" ht="46" customHeight="true">
      <c r="A58" s="32" t="s">
        <v>45</v>
      </c>
      <c r="B58" s="33"/>
      <c r="C58" s="35" t="s">
        <v>55</v>
      </c>
      <c r="D58" s="35" t="s">
        <v>6</v>
      </c>
      <c r="E58" s="35" t="s">
        <v>7</v>
      </c>
      <c r="F58" s="35" t="s">
        <v>8</v>
      </c>
      <c r="G58" s="32" t="s">
        <v>9</v>
      </c>
      <c r="H58" s="33"/>
      <c r="I58" s="34" t="s">
        <v>46</v>
      </c>
      <c r="J58" s="34" t="s">
        <v>47</v>
      </c>
      <c r="K58" s="66" t="s">
        <v>48</v>
      </c>
      <c r="L58" s="67"/>
      <c r="M58" s="32" t="s">
        <v>49</v>
      </c>
      <c r="N58" s="33"/>
    </row>
    <row r="59" spans="1:14" ht="25.05" customHeight="true">
      <c r="A59" s="36"/>
      <c r="B59" s="37"/>
      <c r="C59" s="18" t="s">
        <v>196</v>
      </c>
      <c r="D59" s="18" t="s">
        <v>191</v>
      </c>
      <c r="E59" s="38"/>
      <c r="F59" s="38"/>
      <c r="G59" s="39" t="s">
        <v>187</v>
      </c>
      <c r="H59" s="40"/>
      <c r="I59" s="68" t="str">
        <f>SUM(K11,K22,K33,K44,K55)&amp;"件"</f>
        <v>3268件</v>
      </c>
      <c r="J59" s="68" t="str">
        <f>SUM(O11,O22,O33,O44,O55)&amp;"件"</f>
        <v>430件</v>
      </c>
      <c r="K59" s="69" t="str">
        <f>SUM(P11,P22,P33,P44,P55)&amp;"件"</f>
        <v>2852件</v>
      </c>
      <c r="L59" s="70"/>
      <c r="M59" s="71"/>
      <c r="N59" s="70"/>
    </row>
    <row r="60" spans="1:14" ht="25.05" customHeight="true">
      <c r="A60" s="41"/>
      <c r="B60" s="42"/>
      <c r="C60" s="22"/>
      <c r="D60" s="22"/>
      <c r="E60" s="43"/>
      <c r="F60" s="43"/>
      <c r="G60" s="44"/>
      <c r="H60" s="45"/>
      <c r="I60" s="16"/>
      <c r="J60" s="16"/>
      <c r="K60" s="72"/>
      <c r="L60" s="73"/>
      <c r="M60" s="74"/>
      <c r="N60" s="73"/>
    </row>
    <row r="61" spans="1:14">
      <c r="A61" s="41"/>
      <c r="B61" s="42"/>
      <c r="C61" s="22"/>
      <c r="D61" s="22"/>
      <c r="E61" s="43"/>
      <c r="F61" s="43"/>
      <c r="G61" s="44"/>
      <c r="H61" s="45"/>
      <c r="I61" s="16"/>
      <c r="J61" s="16"/>
      <c r="K61" s="72"/>
      <c r="L61" s="73"/>
      <c r="M61" s="74"/>
      <c r="N61" s="73"/>
    </row>
    <row r="62" spans="1:14">
      <c r="A62" s="41"/>
      <c r="B62" s="42"/>
      <c r="C62" s="22"/>
      <c r="D62" s="22"/>
      <c r="E62" s="43"/>
      <c r="F62" s="43"/>
      <c r="G62" s="44"/>
      <c r="H62" s="45"/>
      <c r="I62" s="16"/>
      <c r="J62" s="16"/>
      <c r="K62" s="72"/>
      <c r="L62" s="73"/>
      <c r="M62" s="74"/>
      <c r="N62" s="73"/>
    </row>
    <row r="63" spans="1:14">
      <c r="A63" s="41"/>
      <c r="B63" s="42"/>
      <c r="C63" s="22"/>
      <c r="D63" s="22"/>
      <c r="E63" s="43"/>
      <c r="F63" s="43"/>
      <c r="G63" s="44"/>
      <c r="H63" s="45"/>
      <c r="I63" s="16"/>
      <c r="J63" s="16"/>
      <c r="K63" s="72"/>
      <c r="L63" s="73"/>
      <c r="M63" s="74"/>
      <c r="N63" s="73"/>
    </row>
    <row r="64" spans="1:14" customHeight="true">
      <c r="A64" s="41"/>
      <c r="B64" s="42"/>
      <c r="C64" s="22"/>
      <c r="D64" s="22"/>
      <c r="E64" s="43"/>
      <c r="F64" s="43"/>
      <c r="G64" s="44"/>
      <c r="H64" s="45"/>
      <c r="I64" s="16"/>
      <c r="J64" s="16"/>
      <c r="K64" s="72"/>
      <c r="L64" s="73"/>
      <c r="M64" s="74"/>
      <c r="N64" s="73"/>
    </row>
    <row r="65" spans="1:14">
      <c r="A65" s="46"/>
      <c r="B65" s="47"/>
      <c r="C65" s="25"/>
      <c r="D65" s="25"/>
      <c r="E65" s="48"/>
      <c r="F65" s="48"/>
      <c r="G65" s="49"/>
      <c r="H65" s="50"/>
      <c r="I65" s="24"/>
      <c r="J65" s="24"/>
      <c r="K65" s="75"/>
      <c r="L65" s="76"/>
      <c r="M65" s="77"/>
      <c r="N65" s="76"/>
    </row>
  </sheetData>
  <mergeCells count="136">
    <mergeCell ref="A1:L1"/>
    <mergeCell ref="M1:O1"/>
    <mergeCell ref="P1:R1"/>
    <mergeCell ref="A12:P12"/>
    <mergeCell ref="A23:P23"/>
    <mergeCell ref="A34:P34"/>
    <mergeCell ref="A45:P45"/>
    <mergeCell ref="A58:B58"/>
    <mergeCell ref="G58:H58"/>
    <mergeCell ref="K58:L58"/>
    <mergeCell ref="M58:N58"/>
    <mergeCell ref="A2:A4"/>
    <mergeCell ref="A5:A11"/>
    <mergeCell ref="A13:A15"/>
    <mergeCell ref="A16:A22"/>
    <mergeCell ref="A24:A26"/>
    <mergeCell ref="A27:A33"/>
    <mergeCell ref="A35:A37"/>
    <mergeCell ref="A38:A44"/>
    <mergeCell ref="A46:A48"/>
    <mergeCell ref="A49:A55"/>
    <mergeCell ref="B2:B4"/>
    <mergeCell ref="B5:B11"/>
    <mergeCell ref="B13:B15"/>
    <mergeCell ref="B16:B22"/>
    <mergeCell ref="B24:B26"/>
    <mergeCell ref="B27:B33"/>
    <mergeCell ref="B35:B37"/>
    <mergeCell ref="B38:B44"/>
    <mergeCell ref="B46:B48"/>
    <mergeCell ref="B49:B55"/>
    <mergeCell ref="C2:C4"/>
    <mergeCell ref="C5:C11"/>
    <mergeCell ref="C13:C15"/>
    <mergeCell ref="C16:C22"/>
    <mergeCell ref="C24:C26"/>
    <mergeCell ref="C27:C33"/>
    <mergeCell ref="C35:C37"/>
    <mergeCell ref="C38:C44"/>
    <mergeCell ref="C46:C48"/>
    <mergeCell ref="C49:C55"/>
    <mergeCell ref="C59:C65"/>
    <mergeCell ref="D2:D4"/>
    <mergeCell ref="D5:D11"/>
    <mergeCell ref="D13:D15"/>
    <mergeCell ref="D16:D22"/>
    <mergeCell ref="D24:D26"/>
    <mergeCell ref="D27:D33"/>
    <mergeCell ref="D35:D37"/>
    <mergeCell ref="D38:D44"/>
    <mergeCell ref="D46:D48"/>
    <mergeCell ref="D49:D55"/>
    <mergeCell ref="D59:D65"/>
    <mergeCell ref="E2:E4"/>
    <mergeCell ref="E5:E11"/>
    <mergeCell ref="E13:E15"/>
    <mergeCell ref="E16:E22"/>
    <mergeCell ref="E24:E26"/>
    <mergeCell ref="E27:E33"/>
    <mergeCell ref="E35:E37"/>
    <mergeCell ref="E38:E44"/>
    <mergeCell ref="E46:E48"/>
    <mergeCell ref="E49:E55"/>
    <mergeCell ref="E59:E65"/>
    <mergeCell ref="F2:F4"/>
    <mergeCell ref="F5:F11"/>
    <mergeCell ref="F13:F15"/>
    <mergeCell ref="F16:F22"/>
    <mergeCell ref="F24:F26"/>
    <mergeCell ref="F27:F33"/>
    <mergeCell ref="F35:F37"/>
    <mergeCell ref="F38:F44"/>
    <mergeCell ref="F46:F48"/>
    <mergeCell ref="F49:F55"/>
    <mergeCell ref="F59:F65"/>
    <mergeCell ref="G5:G11"/>
    <mergeCell ref="G16:G22"/>
    <mergeCell ref="G27:G33"/>
    <mergeCell ref="G38:G44"/>
    <mergeCell ref="G49:G55"/>
    <mergeCell ref="H5:H11"/>
    <mergeCell ref="H16:H22"/>
    <mergeCell ref="H27:H33"/>
    <mergeCell ref="H38:H44"/>
    <mergeCell ref="H49:H55"/>
    <mergeCell ref="I2:I4"/>
    <mergeCell ref="I5:I10"/>
    <mergeCell ref="I13:I15"/>
    <mergeCell ref="I16:I21"/>
    <mergeCell ref="I24:I26"/>
    <mergeCell ref="I27:I32"/>
    <mergeCell ref="I35:I37"/>
    <mergeCell ref="I38:I43"/>
    <mergeCell ref="I46:I48"/>
    <mergeCell ref="I49:I54"/>
    <mergeCell ref="I59:I65"/>
    <mergeCell ref="J2:J4"/>
    <mergeCell ref="J13:J15"/>
    <mergeCell ref="J24:J26"/>
    <mergeCell ref="J35:J37"/>
    <mergeCell ref="J46:J48"/>
    <mergeCell ref="J59:J65"/>
    <mergeCell ref="M2:M4"/>
    <mergeCell ref="M13:M15"/>
    <mergeCell ref="M24:M26"/>
    <mergeCell ref="M35:M37"/>
    <mergeCell ref="M46:M48"/>
    <mergeCell ref="Q2:Q3"/>
    <mergeCell ref="Q13:Q14"/>
    <mergeCell ref="Q24:Q25"/>
    <mergeCell ref="Q35:Q36"/>
    <mergeCell ref="Q46:Q47"/>
    <mergeCell ref="R2:R3"/>
    <mergeCell ref="R13:R14"/>
    <mergeCell ref="R24:R25"/>
    <mergeCell ref="R35:R36"/>
    <mergeCell ref="R46:R47"/>
    <mergeCell ref="G2:H4"/>
    <mergeCell ref="K2:L3"/>
    <mergeCell ref="N2:P3"/>
    <mergeCell ref="G13:H15"/>
    <mergeCell ref="K13:L14"/>
    <mergeCell ref="N13:P14"/>
    <mergeCell ref="G24:H26"/>
    <mergeCell ref="K24:L25"/>
    <mergeCell ref="N24:P25"/>
    <mergeCell ref="G35:H37"/>
    <mergeCell ref="K35:L36"/>
    <mergeCell ref="N35:P36"/>
    <mergeCell ref="G46:H48"/>
    <mergeCell ref="K46:L47"/>
    <mergeCell ref="N46:P47"/>
    <mergeCell ref="A59:B65"/>
    <mergeCell ref="G59:H65"/>
    <mergeCell ref="K59:L65"/>
    <mergeCell ref="M59:N65"/>
  </mergeCells>
  <pageMargins left="0.75" right="0.75" top="1" bottom="1" header="0.5" footer="0.5"/>
  <pageSetup orientation="portrait" paperSize="9"/>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U65"/>
  <sheetViews>
    <sheetView topLeftCell="A23" zoomScale="90" zoomScaleNormal="90" workbookViewId="0">
      <selection activeCell="P49" sqref="P49:P54"/>
    </sheetView>
  </sheetViews>
  <sheetFormatPr defaultColWidth="8.55555555555556" defaultRowHeight="14.4"/>
  <cols>
    <col customWidth="true" max="1" min="1" style="3" width="7"/>
    <col customWidth="true" max="2" min="2" style="3" width="8.77777777777778"/>
    <col customWidth="true" max="3" min="3" style="3" width="18.6388888888889"/>
    <col customWidth="true" max="4" min="4" style="3" width="9.88888888888889"/>
    <col customWidth="true" hidden="true" max="5" min="5" style="3" width="12.7777777777778"/>
    <col customWidth="true" hidden="true" max="6" min="6" style="3" width="12.6666666666667"/>
    <col customWidth="true" max="7" min="7" style="3" width="13.5740740740741"/>
    <col customWidth="true" max="8" min="8" style="3" width="11.5555555555556"/>
    <col customWidth="true" max="9" min="9" style="3" width="13.9444444444444"/>
    <col customWidth="true" max="10" min="10" style="4" width="13.2037037037037"/>
    <col customWidth="true" max="11" min="11" style="3" width="12.5833333333333"/>
    <col customWidth="true" max="12" min="12" style="3" width="15.3055555555556"/>
    <col customWidth="true" max="13" min="13" style="4" width="12.5925925925926"/>
    <col customWidth="true" max="14" min="14" style="3" width="10.8611111111111"/>
    <col customWidth="true" max="15" min="15" style="3" width="11.3518518518519"/>
    <col customWidth="true" max="18" min="16" style="3" width="13.0833333333333"/>
    <col max="16384" min="19" style="3" width="8.55555555555556"/>
  </cols>
  <sheetData>
    <row r="1" spans="1:20" s="1" customFormat="true" ht="58.8" customHeight="true">
      <c r="A1" s="5" t="s">
        <v>197</v>
      </c>
      <c r="B1" s="6"/>
      <c r="C1" s="6"/>
      <c r="D1" s="6"/>
      <c r="E1" s="6"/>
      <c r="F1" s="6"/>
      <c r="G1" s="6"/>
      <c r="H1" s="6"/>
      <c r="I1" s="6"/>
      <c r="J1" s="6"/>
      <c r="K1" s="6"/>
      <c r="L1" s="6"/>
      <c r="M1" s="6" t="s">
        <v>198</v>
      </c>
      <c r="N1" s="6"/>
      <c r="O1" s="6"/>
      <c r="P1" s="51" t="s">
        <v>2</v>
      </c>
      <c r="Q1" s="6"/>
      <c r="R1" s="6"/>
      <c r="T1" s="78"/>
    </row>
    <row r="2" spans="1:20" s="1" customFormat="true" ht="10.95" customHeight="true">
      <c r="A2" s="7" t="s">
        <v>3</v>
      </c>
      <c r="B2" s="7" t="s">
        <v>4</v>
      </c>
      <c r="C2" s="7" t="s">
        <v>5</v>
      </c>
      <c r="D2" s="7" t="s">
        <v>6</v>
      </c>
      <c r="E2" s="7" t="s">
        <v>7</v>
      </c>
      <c r="F2" s="7" t="s">
        <v>8</v>
      </c>
      <c r="G2" s="8" t="s">
        <v>9</v>
      </c>
      <c r="H2" s="9"/>
      <c r="I2" s="7" t="s">
        <v>10</v>
      </c>
      <c r="J2" s="7" t="s">
        <v>11</v>
      </c>
      <c r="K2" s="52" t="s">
        <v>12</v>
      </c>
      <c r="L2" s="9"/>
      <c r="M2" s="7" t="s">
        <v>11</v>
      </c>
      <c r="N2" s="52" t="s">
        <v>13</v>
      </c>
      <c r="O2" s="52"/>
      <c r="P2" s="9"/>
      <c r="Q2" s="9" t="s">
        <v>14</v>
      </c>
      <c r="R2" s="9" t="s">
        <v>15</v>
      </c>
      <c r="T2" s="78"/>
    </row>
    <row r="3" spans="1:20" s="1" customFormat="true" ht="16.05" customHeight="true">
      <c r="A3" s="10"/>
      <c r="B3" s="10"/>
      <c r="C3" s="10"/>
      <c r="D3" s="10"/>
      <c r="E3" s="10"/>
      <c r="F3" s="10"/>
      <c r="G3" s="11"/>
      <c r="H3" s="12"/>
      <c r="I3" s="10"/>
      <c r="J3" s="10"/>
      <c r="K3" s="53"/>
      <c r="L3" s="15"/>
      <c r="M3" s="10"/>
      <c r="N3" s="53"/>
      <c r="O3" s="53"/>
      <c r="P3" s="15"/>
      <c r="Q3" s="15"/>
      <c r="R3" s="15"/>
      <c r="T3" s="78"/>
    </row>
    <row r="4" spans="1:20" s="1" customFormat="true" ht="28.95" customHeight="true">
      <c r="A4" s="13"/>
      <c r="B4" s="13"/>
      <c r="C4" s="13"/>
      <c r="D4" s="13"/>
      <c r="E4" s="13"/>
      <c r="F4" s="13"/>
      <c r="G4" s="14"/>
      <c r="H4" s="15"/>
      <c r="I4" s="13"/>
      <c r="J4" s="13"/>
      <c r="K4" s="54" t="s">
        <v>16</v>
      </c>
      <c r="L4" s="55" t="s">
        <v>17</v>
      </c>
      <c r="M4" s="13"/>
      <c r="N4" s="55" t="s">
        <v>18</v>
      </c>
      <c r="O4" s="55" t="s">
        <v>19</v>
      </c>
      <c r="P4" s="55" t="s">
        <v>20</v>
      </c>
      <c r="Q4" s="55" t="s">
        <v>21</v>
      </c>
      <c r="R4" s="55" t="s">
        <v>22</v>
      </c>
      <c r="T4" s="78"/>
    </row>
    <row r="5" spans="1:20" s="2" customFormat="true" customHeight="true">
      <c r="A5" s="16">
        <v>1</v>
      </c>
      <c r="B5" s="17" t="str">
        <f>=DISPIMG("ID_04E16A16E29D4D328CC3E61C1E96CC70",1)</f>
        <v>=DISPIMG("ID_04E16A16E29D4D328CC3E61C1E96CC70",1)</v>
      </c>
      <c r="C5" s="18" t="s">
        <v>199</v>
      </c>
      <c r="D5" s="18" t="s">
        <v>200</v>
      </c>
      <c r="E5" s="19"/>
      <c r="F5" s="19"/>
      <c r="G5" s="20" t="s">
        <v>25</v>
      </c>
      <c r="H5" s="21" t="str">
        <f>=DISPIMG("ID_4EDEED8F8AF7463DAF9EEA863F4E2EAF",1)</f>
        <v>=DISPIMG("ID_4EDEED8F8AF7463DAF9EEA863F4E2EAF",1)</v>
      </c>
      <c r="I5" s="56">
        <v>13.95</v>
      </c>
      <c r="J5" s="57" t="s">
        <v>26</v>
      </c>
      <c r="K5" s="23">
        <v>11</v>
      </c>
      <c r="L5" s="58">
        <f>I5*K5</f>
        <v>153.45</v>
      </c>
      <c r="M5" s="57" t="s">
        <v>26</v>
      </c>
      <c r="N5" s="23">
        <v>0</v>
      </c>
      <c r="O5" s="23">
        <v>1</v>
      </c>
      <c r="P5" s="23">
        <f t="shared" ref="P5:P10" si="0">MAX(0,K5-O5)</f>
        <v>10</v>
      </c>
      <c r="Q5" s="23">
        <v>0</v>
      </c>
      <c r="R5" s="23"/>
      <c r="T5" s="79"/>
    </row>
    <row r="6" spans="1:20" s="2" customFormat="true">
      <c r="A6" s="16"/>
      <c r="B6" s="16"/>
      <c r="C6" s="22"/>
      <c r="D6" s="22"/>
      <c r="E6" s="23"/>
      <c r="F6" s="23"/>
      <c r="G6" s="20"/>
      <c r="H6" s="21"/>
      <c r="I6" s="59"/>
      <c r="J6" s="57" t="s">
        <v>27</v>
      </c>
      <c r="K6" s="23">
        <v>39</v>
      </c>
      <c r="L6" s="58">
        <f>I5*K6</f>
        <v>544.05</v>
      </c>
      <c r="M6" s="57" t="s">
        <v>27</v>
      </c>
      <c r="N6" s="23">
        <v>0</v>
      </c>
      <c r="O6" s="23">
        <v>3</v>
      </c>
      <c r="P6" s="23">
        <f t="shared" si="0"/>
        <v>36</v>
      </c>
      <c r="Q6" s="23">
        <v>0</v>
      </c>
      <c r="R6" s="23"/>
      <c r="T6" s="79"/>
    </row>
    <row r="7" spans="1:20" s="2" customFormat="true">
      <c r="A7" s="16"/>
      <c r="B7" s="16"/>
      <c r="C7" s="22"/>
      <c r="D7" s="22"/>
      <c r="E7" s="23"/>
      <c r="F7" s="23"/>
      <c r="G7" s="20"/>
      <c r="H7" s="21"/>
      <c r="I7" s="59"/>
      <c r="J7" s="57" t="s">
        <v>28</v>
      </c>
      <c r="K7" s="23">
        <v>157</v>
      </c>
      <c r="L7" s="58">
        <f>I5*K7</f>
        <v>2190.15</v>
      </c>
      <c r="M7" s="57" t="s">
        <v>28</v>
      </c>
      <c r="N7" s="23">
        <v>0</v>
      </c>
      <c r="O7" s="23">
        <v>5</v>
      </c>
      <c r="P7" s="23">
        <f t="shared" si="0"/>
        <v>152</v>
      </c>
      <c r="Q7" s="23">
        <v>2</v>
      </c>
      <c r="R7" s="23"/>
      <c r="T7" s="79"/>
    </row>
    <row r="8" spans="1:20" s="2" customFormat="true">
      <c r="A8" s="16"/>
      <c r="B8" s="16"/>
      <c r="C8" s="22"/>
      <c r="D8" s="22"/>
      <c r="E8" s="23"/>
      <c r="F8" s="23"/>
      <c r="G8" s="20"/>
      <c r="H8" s="21"/>
      <c r="I8" s="59"/>
      <c r="J8" s="57" t="s">
        <v>29</v>
      </c>
      <c r="K8" s="23">
        <v>120</v>
      </c>
      <c r="L8" s="58">
        <f>I5*K8</f>
        <v>1674</v>
      </c>
      <c r="M8" s="57" t="s">
        <v>29</v>
      </c>
      <c r="N8" s="23">
        <v>0</v>
      </c>
      <c r="O8" s="23">
        <v>4</v>
      </c>
      <c r="P8" s="23">
        <f t="shared" si="0"/>
        <v>116</v>
      </c>
      <c r="Q8" s="23">
        <v>2</v>
      </c>
      <c r="R8" s="23"/>
      <c r="T8" s="79"/>
    </row>
    <row r="9" spans="1:20" s="2" customFormat="true">
      <c r="A9" s="16"/>
      <c r="B9" s="16"/>
      <c r="C9" s="22"/>
      <c r="D9" s="22"/>
      <c r="E9" s="23"/>
      <c r="F9" s="23"/>
      <c r="G9" s="20"/>
      <c r="H9" s="21"/>
      <c r="I9" s="59"/>
      <c r="J9" s="57" t="s">
        <v>30</v>
      </c>
      <c r="K9" s="23">
        <v>18</v>
      </c>
      <c r="L9" s="58">
        <f>I5*K9</f>
        <v>251.1</v>
      </c>
      <c r="M9" s="57" t="s">
        <v>30</v>
      </c>
      <c r="N9" s="23">
        <v>0</v>
      </c>
      <c r="O9" s="23">
        <v>6</v>
      </c>
      <c r="P9" s="23">
        <f t="shared" si="0"/>
        <v>12</v>
      </c>
      <c r="Q9" s="23">
        <v>2</v>
      </c>
      <c r="R9" s="23"/>
      <c r="T9" s="79"/>
    </row>
    <row r="10" spans="1:20" s="2" customFormat="true">
      <c r="A10" s="16"/>
      <c r="B10" s="16"/>
      <c r="C10" s="22"/>
      <c r="D10" s="22"/>
      <c r="E10" s="23"/>
      <c r="F10" s="23"/>
      <c r="G10" s="20"/>
      <c r="H10" s="21"/>
      <c r="I10" s="60"/>
      <c r="J10" s="23" t="s">
        <v>31</v>
      </c>
      <c r="K10" s="23">
        <v>11</v>
      </c>
      <c r="L10" s="58">
        <f>I5*K10</f>
        <v>153.45</v>
      </c>
      <c r="M10" s="23" t="s">
        <v>31</v>
      </c>
      <c r="N10" s="23">
        <v>0</v>
      </c>
      <c r="O10" s="23">
        <v>5</v>
      </c>
      <c r="P10" s="23">
        <f t="shared" si="0"/>
        <v>6</v>
      </c>
      <c r="Q10" s="23">
        <v>2</v>
      </c>
      <c r="R10" s="23"/>
      <c r="T10" s="79"/>
    </row>
    <row r="11" spans="1:20" s="2" customFormat="true">
      <c r="A11" s="24"/>
      <c r="B11" s="24"/>
      <c r="C11" s="25"/>
      <c r="D11" s="25"/>
      <c r="E11" s="23"/>
      <c r="F11" s="23"/>
      <c r="G11" s="26"/>
      <c r="H11" s="27"/>
      <c r="J11" s="61" t="s">
        <v>32</v>
      </c>
      <c r="K11" s="62">
        <f t="shared" ref="K11:N11" si="1">SUM(K5:K10)</f>
        <v>356</v>
      </c>
      <c r="L11" s="63">
        <f t="shared" si="1"/>
        <v>4966.2</v>
      </c>
      <c r="M11" s="61" t="s">
        <v>32</v>
      </c>
      <c r="N11" s="62">
        <f t="shared" si="1"/>
        <v>0</v>
      </c>
      <c r="O11" s="62" cm="1">
        <f t="array" ref="O11">SUMPRODUCT(--(O5:O10))</f>
        <v>24</v>
      </c>
      <c r="P11" s="64" cm="1">
        <f t="array" ref="P11">SUMPRODUCT(--(P5:P10))</f>
        <v>332</v>
      </c>
      <c r="Q11" s="64">
        <f>SUM(Q5:Q10)</f>
        <v>8</v>
      </c>
      <c r="R11" s="64">
        <f>SUM(R5:R10)</f>
        <v>0</v>
      </c>
      <c r="T11" s="79"/>
    </row>
    <row r="12" spans="1:20" s="2" customFormat="true" ht="17.4" customHeight="true">
      <c r="A12" s="28"/>
      <c r="B12" s="29"/>
      <c r="C12" s="29"/>
      <c r="D12" s="29"/>
      <c r="E12" s="29"/>
      <c r="F12" s="29"/>
      <c r="G12" s="29"/>
      <c r="H12" s="29"/>
      <c r="I12" s="29"/>
      <c r="J12" s="29"/>
      <c r="K12" s="29"/>
      <c r="L12" s="29"/>
      <c r="M12" s="29"/>
      <c r="N12" s="29"/>
      <c r="O12" s="29"/>
      <c r="P12" s="29"/>
      <c r="Q12" s="29"/>
      <c r="R12" s="29"/>
      <c r="T12" s="79"/>
    </row>
    <row r="13" spans="1:21" s="1" customFormat="true" ht="10.95" customHeight="true">
      <c r="A13" s="7" t="s">
        <v>3</v>
      </c>
      <c r="B13" s="30" t="s">
        <v>4</v>
      </c>
      <c r="C13" s="7" t="s">
        <v>5</v>
      </c>
      <c r="D13" s="30" t="s">
        <v>6</v>
      </c>
      <c r="E13" s="30" t="s">
        <v>7</v>
      </c>
      <c r="F13" s="30" t="s">
        <v>8</v>
      </c>
      <c r="G13" s="30" t="s">
        <v>9</v>
      </c>
      <c r="H13" s="30"/>
      <c r="I13" s="7" t="s">
        <v>10</v>
      </c>
      <c r="J13" s="7" t="s">
        <v>11</v>
      </c>
      <c r="K13" s="8" t="s">
        <v>12</v>
      </c>
      <c r="L13" s="9"/>
      <c r="M13" s="7" t="s">
        <v>11</v>
      </c>
      <c r="N13" s="52" t="s">
        <v>13</v>
      </c>
      <c r="O13" s="52"/>
      <c r="P13" s="9"/>
      <c r="Q13" s="9" t="s">
        <v>14</v>
      </c>
      <c r="R13" s="9" t="s">
        <v>15</v>
      </c>
      <c r="T13" s="78"/>
      <c r="U13" s="2"/>
    </row>
    <row r="14" spans="1:20" s="1" customFormat="true" ht="16.05" customHeight="true">
      <c r="A14" s="10"/>
      <c r="B14" s="30"/>
      <c r="C14" s="10"/>
      <c r="D14" s="30"/>
      <c r="E14" s="30"/>
      <c r="F14" s="30"/>
      <c r="G14" s="30"/>
      <c r="H14" s="30"/>
      <c r="I14" s="10"/>
      <c r="J14" s="10"/>
      <c r="K14" s="14"/>
      <c r="L14" s="15"/>
      <c r="M14" s="10"/>
      <c r="N14" s="53"/>
      <c r="O14" s="53"/>
      <c r="P14" s="15"/>
      <c r="Q14" s="15"/>
      <c r="R14" s="15"/>
      <c r="T14" s="78"/>
    </row>
    <row r="15" spans="1:20" s="1" customFormat="true" ht="28.95" customHeight="true">
      <c r="A15" s="13"/>
      <c r="B15" s="30"/>
      <c r="C15" s="13"/>
      <c r="D15" s="30"/>
      <c r="E15" s="30"/>
      <c r="F15" s="30"/>
      <c r="G15" s="30"/>
      <c r="H15" s="30"/>
      <c r="I15" s="13"/>
      <c r="J15" s="13"/>
      <c r="K15" s="54" t="s">
        <v>16</v>
      </c>
      <c r="L15" s="55" t="s">
        <v>17</v>
      </c>
      <c r="M15" s="13"/>
      <c r="N15" s="55" t="s">
        <v>18</v>
      </c>
      <c r="O15" s="55" t="s">
        <v>19</v>
      </c>
      <c r="P15" s="55" t="s">
        <v>20</v>
      </c>
      <c r="Q15" s="55" t="s">
        <v>21</v>
      </c>
      <c r="R15" s="55" t="s">
        <v>22</v>
      </c>
      <c r="T15" s="78"/>
    </row>
    <row r="16" spans="1:20" s="2" customFormat="true" ht="13.95" customHeight="true">
      <c r="A16" s="16">
        <v>2</v>
      </c>
      <c r="B16" s="17" t="str">
        <f>=DISPIMG("ID_D68D0A9A821E4C52B9B897A198D530C1",1)</f>
        <v>=DISPIMG("ID_D68D0A9A821E4C52B9B897A198D530C1",1)</v>
      </c>
      <c r="C16" s="18" t="s">
        <v>201</v>
      </c>
      <c r="D16" s="18" t="s">
        <v>200</v>
      </c>
      <c r="E16" s="19"/>
      <c r="F16" s="19"/>
      <c r="G16" s="20" t="s">
        <v>34</v>
      </c>
      <c r="H16" s="21" t="str">
        <f>=DISPIMG("ID_60479002954E4053A498D0256B7AFC48",1)</f>
        <v>=DISPIMG("ID_60479002954E4053A498D0256B7AFC48",1)</v>
      </c>
      <c r="I16" s="56">
        <v>13.95</v>
      </c>
      <c r="J16" s="57" t="s">
        <v>26</v>
      </c>
      <c r="K16" s="23">
        <v>10</v>
      </c>
      <c r="L16" s="58">
        <f>I16*K16</f>
        <v>139.5</v>
      </c>
      <c r="M16" s="57" t="s">
        <v>26</v>
      </c>
      <c r="N16" s="23">
        <v>0</v>
      </c>
      <c r="O16" s="23">
        <v>5</v>
      </c>
      <c r="P16" s="23">
        <f t="shared" ref="P16:P21" si="2">MAX(0,K16-O16)</f>
        <v>5</v>
      </c>
      <c r="Q16" s="23">
        <v>2</v>
      </c>
      <c r="R16" s="23"/>
      <c r="T16" s="79"/>
    </row>
    <row r="17" spans="1:20" s="2" customFormat="true">
      <c r="A17" s="16"/>
      <c r="B17" s="16"/>
      <c r="C17" s="22"/>
      <c r="D17" s="22"/>
      <c r="E17" s="23"/>
      <c r="F17" s="23"/>
      <c r="G17" s="20"/>
      <c r="H17" s="21"/>
      <c r="I17" s="59"/>
      <c r="J17" s="57" t="s">
        <v>27</v>
      </c>
      <c r="K17" s="23">
        <v>35</v>
      </c>
      <c r="L17" s="58">
        <f>I16*K17</f>
        <v>488.25</v>
      </c>
      <c r="M17" s="57" t="s">
        <v>27</v>
      </c>
      <c r="N17" s="23">
        <v>0</v>
      </c>
      <c r="O17" s="23">
        <v>7</v>
      </c>
      <c r="P17" s="23">
        <f t="shared" si="2"/>
        <v>28</v>
      </c>
      <c r="Q17" s="23">
        <v>1</v>
      </c>
      <c r="R17" s="23"/>
      <c r="T17" s="79"/>
    </row>
    <row r="18" spans="1:20" s="2" customFormat="true">
      <c r="A18" s="16"/>
      <c r="B18" s="16"/>
      <c r="C18" s="22"/>
      <c r="D18" s="22"/>
      <c r="E18" s="23"/>
      <c r="F18" s="23"/>
      <c r="G18" s="20"/>
      <c r="H18" s="21"/>
      <c r="I18" s="59"/>
      <c r="J18" s="57" t="s">
        <v>28</v>
      </c>
      <c r="K18" s="23">
        <v>156</v>
      </c>
      <c r="L18" s="58">
        <f>I16*K18</f>
        <v>2176.2</v>
      </c>
      <c r="M18" s="57" t="s">
        <v>28</v>
      </c>
      <c r="N18" s="23">
        <v>0</v>
      </c>
      <c r="O18" s="23">
        <v>19</v>
      </c>
      <c r="P18" s="23">
        <f t="shared" si="2"/>
        <v>137</v>
      </c>
      <c r="Q18" s="23">
        <v>5</v>
      </c>
      <c r="R18" s="23"/>
      <c r="T18" s="79"/>
    </row>
    <row r="19" spans="1:20" s="2" customFormat="true">
      <c r="A19" s="16"/>
      <c r="B19" s="16"/>
      <c r="C19" s="22"/>
      <c r="D19" s="22"/>
      <c r="E19" s="23"/>
      <c r="F19" s="23"/>
      <c r="G19" s="20"/>
      <c r="H19" s="21"/>
      <c r="I19" s="59"/>
      <c r="J19" s="57" t="s">
        <v>29</v>
      </c>
      <c r="K19" s="23">
        <v>120</v>
      </c>
      <c r="L19" s="58">
        <f>I16*K19</f>
        <v>1674</v>
      </c>
      <c r="M19" s="57" t="s">
        <v>29</v>
      </c>
      <c r="N19" s="23">
        <v>0</v>
      </c>
      <c r="O19" s="23">
        <v>8</v>
      </c>
      <c r="P19" s="23">
        <f t="shared" si="2"/>
        <v>112</v>
      </c>
      <c r="Q19" s="23">
        <v>3</v>
      </c>
      <c r="R19" s="23"/>
      <c r="T19" s="79"/>
    </row>
    <row r="20" spans="1:20" s="2" customFormat="true">
      <c r="A20" s="16"/>
      <c r="B20" s="16"/>
      <c r="C20" s="22"/>
      <c r="D20" s="22"/>
      <c r="E20" s="23"/>
      <c r="F20" s="23"/>
      <c r="G20" s="20"/>
      <c r="H20" s="21"/>
      <c r="I20" s="59"/>
      <c r="J20" s="57" t="s">
        <v>30</v>
      </c>
      <c r="K20" s="23">
        <v>18</v>
      </c>
      <c r="L20" s="58">
        <f>I16*K20</f>
        <v>251.1</v>
      </c>
      <c r="M20" s="57" t="s">
        <v>30</v>
      </c>
      <c r="N20" s="23">
        <v>0</v>
      </c>
      <c r="O20" s="23">
        <v>9</v>
      </c>
      <c r="P20" s="23">
        <f t="shared" si="2"/>
        <v>9</v>
      </c>
      <c r="Q20" s="23">
        <v>3</v>
      </c>
      <c r="R20" s="23"/>
      <c r="T20" s="79"/>
    </row>
    <row r="21" spans="1:20" s="2" customFormat="true">
      <c r="A21" s="16"/>
      <c r="B21" s="16"/>
      <c r="C21" s="22"/>
      <c r="D21" s="22"/>
      <c r="E21" s="23"/>
      <c r="F21" s="23"/>
      <c r="G21" s="20"/>
      <c r="H21" s="21"/>
      <c r="I21" s="60"/>
      <c r="J21" s="23" t="s">
        <v>31</v>
      </c>
      <c r="K21" s="23">
        <v>7</v>
      </c>
      <c r="L21" s="58">
        <f>I16*K21</f>
        <v>97.65</v>
      </c>
      <c r="M21" s="23" t="s">
        <v>31</v>
      </c>
      <c r="N21" s="23">
        <v>0</v>
      </c>
      <c r="O21" s="23">
        <v>4</v>
      </c>
      <c r="P21" s="23">
        <f t="shared" si="2"/>
        <v>3</v>
      </c>
      <c r="Q21" s="23">
        <v>1</v>
      </c>
      <c r="R21" s="23"/>
      <c r="T21" s="79"/>
    </row>
    <row r="22" spans="1:20" s="2" customFormat="true">
      <c r="A22" s="24"/>
      <c r="B22" s="24"/>
      <c r="C22" s="25"/>
      <c r="D22" s="25"/>
      <c r="E22" s="23"/>
      <c r="F22" s="23"/>
      <c r="G22" s="26"/>
      <c r="H22" s="27"/>
      <c r="I22" s="62"/>
      <c r="J22" s="61" t="s">
        <v>32</v>
      </c>
      <c r="K22" s="62">
        <f t="shared" ref="K22:N22" si="3">SUM(K16:K21)</f>
        <v>346</v>
      </c>
      <c r="L22" s="63">
        <f t="shared" si="3"/>
        <v>4826.7</v>
      </c>
      <c r="M22" s="61" t="s">
        <v>32</v>
      </c>
      <c r="N22" s="62">
        <f t="shared" si="3"/>
        <v>0</v>
      </c>
      <c r="O22" s="62" cm="1">
        <f t="array" ref="O22">SUMPRODUCT(--(O16:O21))</f>
        <v>52</v>
      </c>
      <c r="P22" s="64" cm="1">
        <f t="array" ref="P22">SUMPRODUCT(--(P16:P21))</f>
        <v>294</v>
      </c>
      <c r="Q22" s="64">
        <f>SUM(Q16:Q21)</f>
        <v>15</v>
      </c>
      <c r="R22" s="64">
        <f>SUM(R16:R21)</f>
        <v>0</v>
      </c>
      <c r="T22" s="79"/>
    </row>
    <row r="23" spans="1:20" s="2" customFormat="true" ht="17.4" customHeight="true">
      <c r="A23" s="28"/>
      <c r="B23" s="29"/>
      <c r="C23" s="29"/>
      <c r="D23" s="29"/>
      <c r="E23" s="29"/>
      <c r="F23" s="29"/>
      <c r="G23" s="29"/>
      <c r="H23" s="29"/>
      <c r="I23" s="29"/>
      <c r="J23" s="29"/>
      <c r="K23" s="29"/>
      <c r="L23" s="29"/>
      <c r="M23" s="29"/>
      <c r="N23" s="29"/>
      <c r="O23" s="29"/>
      <c r="P23" s="29"/>
      <c r="Q23" s="65"/>
      <c r="R23" s="65"/>
      <c r="T23" s="79"/>
    </row>
    <row r="24" spans="1:20" s="1" customFormat="true" ht="10.95" customHeight="true">
      <c r="A24" s="7" t="s">
        <v>3</v>
      </c>
      <c r="B24" s="30" t="s">
        <v>4</v>
      </c>
      <c r="C24" s="7" t="s">
        <v>5</v>
      </c>
      <c r="D24" s="30" t="s">
        <v>6</v>
      </c>
      <c r="E24" s="30" t="s">
        <v>7</v>
      </c>
      <c r="F24" s="30" t="s">
        <v>8</v>
      </c>
      <c r="G24" s="30" t="s">
        <v>9</v>
      </c>
      <c r="H24" s="30"/>
      <c r="I24" s="7" t="s">
        <v>10</v>
      </c>
      <c r="J24" s="7" t="s">
        <v>11</v>
      </c>
      <c r="K24" s="8" t="s">
        <v>12</v>
      </c>
      <c r="L24" s="9"/>
      <c r="M24" s="7" t="s">
        <v>11</v>
      </c>
      <c r="N24" s="52" t="s">
        <v>13</v>
      </c>
      <c r="O24" s="52"/>
      <c r="P24" s="9"/>
      <c r="Q24" s="9" t="s">
        <v>14</v>
      </c>
      <c r="R24" s="9" t="s">
        <v>15</v>
      </c>
      <c r="T24" s="78"/>
    </row>
    <row r="25" spans="1:20" s="1" customFormat="true" ht="16.05" customHeight="true">
      <c r="A25" s="10"/>
      <c r="B25" s="30"/>
      <c r="C25" s="10"/>
      <c r="D25" s="30"/>
      <c r="E25" s="30"/>
      <c r="F25" s="30"/>
      <c r="G25" s="30"/>
      <c r="H25" s="30"/>
      <c r="I25" s="10"/>
      <c r="J25" s="10"/>
      <c r="K25" s="14"/>
      <c r="L25" s="15"/>
      <c r="M25" s="10"/>
      <c r="N25" s="53"/>
      <c r="O25" s="53"/>
      <c r="P25" s="15"/>
      <c r="Q25" s="15"/>
      <c r="R25" s="15"/>
      <c r="T25" s="78"/>
    </row>
    <row r="26" spans="1:20" s="1" customFormat="true" ht="28.95" customHeight="true">
      <c r="A26" s="13"/>
      <c r="B26" s="30"/>
      <c r="C26" s="13"/>
      <c r="D26" s="30"/>
      <c r="E26" s="30"/>
      <c r="F26" s="30"/>
      <c r="G26" s="30"/>
      <c r="H26" s="30"/>
      <c r="I26" s="13"/>
      <c r="J26" s="13"/>
      <c r="K26" s="54" t="s">
        <v>16</v>
      </c>
      <c r="L26" s="55" t="s">
        <v>17</v>
      </c>
      <c r="M26" s="13"/>
      <c r="N26" s="55" t="s">
        <v>18</v>
      </c>
      <c r="O26" s="55" t="s">
        <v>19</v>
      </c>
      <c r="P26" s="55" t="s">
        <v>20</v>
      </c>
      <c r="Q26" s="55" t="s">
        <v>21</v>
      </c>
      <c r="R26" s="55" t="s">
        <v>22</v>
      </c>
      <c r="T26" s="78"/>
    </row>
    <row r="27" spans="1:20" s="2" customFormat="true" ht="13.95" customHeight="true">
      <c r="A27" s="16">
        <v>3</v>
      </c>
      <c r="B27" s="17" t="str">
        <f>=DISPIMG("ID_8890DD7EDE1246E6A4D7519F1463056A",1)</f>
        <v>=DISPIMG("ID_8890DD7EDE1246E6A4D7519F1463056A",1)</v>
      </c>
      <c r="C27" s="18" t="s">
        <v>202</v>
      </c>
      <c r="D27" s="18" t="s">
        <v>200</v>
      </c>
      <c r="E27" s="19"/>
      <c r="F27" s="19"/>
      <c r="G27" s="20" t="s">
        <v>36</v>
      </c>
      <c r="H27" s="21" t="str">
        <f>=DISPIMG("ID_2BB2FE636CBF42D3B88A0F85ABEF8819",1)</f>
        <v>=DISPIMG("ID_2BB2FE636CBF42D3B88A0F85ABEF8819",1)</v>
      </c>
      <c r="I27" s="56">
        <v>13.95</v>
      </c>
      <c r="J27" s="57" t="s">
        <v>26</v>
      </c>
      <c r="K27" s="23">
        <v>8</v>
      </c>
      <c r="L27" s="58">
        <f>I27*K27</f>
        <v>111.6</v>
      </c>
      <c r="M27" s="57" t="s">
        <v>26</v>
      </c>
      <c r="N27" s="23">
        <v>0</v>
      </c>
      <c r="O27" s="23">
        <v>1</v>
      </c>
      <c r="P27" s="23">
        <f t="shared" ref="P27:P32" si="4">MAX(0,K27-O27)</f>
        <v>7</v>
      </c>
      <c r="Q27" s="23">
        <v>0</v>
      </c>
      <c r="R27" s="23"/>
      <c r="T27" s="79"/>
    </row>
    <row r="28" spans="1:20" s="2" customFormat="true">
      <c r="A28" s="16"/>
      <c r="B28" s="16"/>
      <c r="C28" s="22"/>
      <c r="D28" s="22"/>
      <c r="E28" s="23"/>
      <c r="F28" s="23"/>
      <c r="G28" s="20"/>
      <c r="H28" s="21"/>
      <c r="I28" s="59"/>
      <c r="J28" s="57" t="s">
        <v>27</v>
      </c>
      <c r="K28" s="23">
        <v>32</v>
      </c>
      <c r="L28" s="58">
        <f>I27*K28</f>
        <v>446.4</v>
      </c>
      <c r="M28" s="57" t="s">
        <v>27</v>
      </c>
      <c r="N28" s="23">
        <v>0</v>
      </c>
      <c r="O28" s="23">
        <v>2</v>
      </c>
      <c r="P28" s="23">
        <f t="shared" si="4"/>
        <v>30</v>
      </c>
      <c r="Q28" s="23">
        <v>1</v>
      </c>
      <c r="R28" s="23"/>
      <c r="T28" s="79"/>
    </row>
    <row r="29" spans="1:20" s="2" customFormat="true">
      <c r="A29" s="16"/>
      <c r="B29" s="16"/>
      <c r="C29" s="22"/>
      <c r="D29" s="22"/>
      <c r="E29" s="23"/>
      <c r="F29" s="23"/>
      <c r="G29" s="20"/>
      <c r="H29" s="21"/>
      <c r="I29" s="59"/>
      <c r="J29" s="57" t="s">
        <v>28</v>
      </c>
      <c r="K29" s="23">
        <v>46</v>
      </c>
      <c r="L29" s="58">
        <f>I27*K29</f>
        <v>641.7</v>
      </c>
      <c r="M29" s="57" t="s">
        <v>28</v>
      </c>
      <c r="N29" s="23">
        <v>0</v>
      </c>
      <c r="O29" s="23">
        <v>3</v>
      </c>
      <c r="P29" s="23">
        <f t="shared" si="4"/>
        <v>43</v>
      </c>
      <c r="Q29" s="23">
        <v>0</v>
      </c>
      <c r="R29" s="23"/>
      <c r="T29" s="79"/>
    </row>
    <row r="30" spans="1:20" s="2" customFormat="true">
      <c r="A30" s="16"/>
      <c r="B30" s="16"/>
      <c r="C30" s="22"/>
      <c r="D30" s="22"/>
      <c r="E30" s="23"/>
      <c r="F30" s="23"/>
      <c r="G30" s="20"/>
      <c r="H30" s="21"/>
      <c r="I30" s="59"/>
      <c r="J30" s="57" t="s">
        <v>29</v>
      </c>
      <c r="K30" s="23">
        <v>36</v>
      </c>
      <c r="L30" s="58">
        <f>I27*K30</f>
        <v>502.2</v>
      </c>
      <c r="M30" s="57" t="s">
        <v>29</v>
      </c>
      <c r="N30" s="23">
        <v>0</v>
      </c>
      <c r="O30" s="23">
        <v>1</v>
      </c>
      <c r="P30" s="23">
        <f t="shared" si="4"/>
        <v>35</v>
      </c>
      <c r="Q30" s="23">
        <v>1</v>
      </c>
      <c r="R30" s="23"/>
      <c r="T30" s="79"/>
    </row>
    <row r="31" spans="1:20" s="2" customFormat="true">
      <c r="A31" s="16"/>
      <c r="B31" s="16"/>
      <c r="C31" s="22"/>
      <c r="D31" s="22"/>
      <c r="E31" s="23"/>
      <c r="F31" s="23"/>
      <c r="G31" s="20"/>
      <c r="H31" s="21"/>
      <c r="I31" s="59"/>
      <c r="J31" s="57" t="s">
        <v>30</v>
      </c>
      <c r="K31" s="23">
        <v>19</v>
      </c>
      <c r="L31" s="58">
        <f>I27*K31</f>
        <v>265.05</v>
      </c>
      <c r="M31" s="57" t="s">
        <v>30</v>
      </c>
      <c r="N31" s="23">
        <v>0</v>
      </c>
      <c r="O31" s="23">
        <v>3</v>
      </c>
      <c r="P31" s="23">
        <f t="shared" si="4"/>
        <v>16</v>
      </c>
      <c r="Q31" s="23">
        <v>1</v>
      </c>
      <c r="R31" s="23"/>
      <c r="T31" s="79"/>
    </row>
    <row r="32" spans="1:20" s="2" customFormat="true">
      <c r="A32" s="16"/>
      <c r="B32" s="16"/>
      <c r="C32" s="22"/>
      <c r="D32" s="22"/>
      <c r="E32" s="23"/>
      <c r="F32" s="23"/>
      <c r="G32" s="20"/>
      <c r="H32" s="21"/>
      <c r="I32" s="60"/>
      <c r="J32" s="23" t="s">
        <v>31</v>
      </c>
      <c r="K32" s="23">
        <v>10</v>
      </c>
      <c r="L32" s="58">
        <f>I27*K32</f>
        <v>139.5</v>
      </c>
      <c r="M32" s="23" t="s">
        <v>31</v>
      </c>
      <c r="N32" s="23">
        <v>0</v>
      </c>
      <c r="O32" s="23">
        <v>3</v>
      </c>
      <c r="P32" s="23">
        <f t="shared" si="4"/>
        <v>7</v>
      </c>
      <c r="Q32" s="23">
        <v>1</v>
      </c>
      <c r="R32" s="23"/>
      <c r="T32" s="79"/>
    </row>
    <row r="33" spans="1:20" s="2" customFormat="true">
      <c r="A33" s="24"/>
      <c r="B33" s="24"/>
      <c r="C33" s="25"/>
      <c r="D33" s="25"/>
      <c r="E33" s="23"/>
      <c r="F33" s="23"/>
      <c r="G33" s="26"/>
      <c r="H33" s="27"/>
      <c r="I33" s="62"/>
      <c r="J33" s="61" t="s">
        <v>32</v>
      </c>
      <c r="K33" s="62">
        <f t="shared" ref="K33:N33" si="5">SUM(K27:K32)</f>
        <v>151</v>
      </c>
      <c r="L33" s="63">
        <f t="shared" si="5"/>
        <v>2106.45</v>
      </c>
      <c r="M33" s="61" t="s">
        <v>32</v>
      </c>
      <c r="N33" s="62">
        <f t="shared" si="5"/>
        <v>0</v>
      </c>
      <c r="O33" s="62" cm="1">
        <f t="array" ref="O33">SUMPRODUCT(--(O27:O32))</f>
        <v>13</v>
      </c>
      <c r="P33" s="64" cm="1">
        <f t="array" ref="P33">SUMPRODUCT(--(P27:P32))</f>
        <v>138</v>
      </c>
      <c r="Q33" s="64">
        <f>SUM(Q27:Q32)</f>
        <v>4</v>
      </c>
      <c r="R33" s="64">
        <f>SUM(R27:R32)</f>
        <v>0</v>
      </c>
      <c r="T33" s="79"/>
    </row>
    <row r="34" spans="1:20" s="2" customFormat="true" ht="17.4" customHeight="true">
      <c r="A34" s="28"/>
      <c r="B34" s="29"/>
      <c r="C34" s="29"/>
      <c r="D34" s="29"/>
      <c r="E34" s="29"/>
      <c r="F34" s="29"/>
      <c r="G34" s="29"/>
      <c r="H34" s="29"/>
      <c r="I34" s="29"/>
      <c r="J34" s="29"/>
      <c r="K34" s="29"/>
      <c r="L34" s="29"/>
      <c r="M34" s="29"/>
      <c r="N34" s="29"/>
      <c r="O34" s="29"/>
      <c r="P34" s="29"/>
      <c r="Q34" s="29"/>
      <c r="R34" s="29"/>
      <c r="T34" s="79"/>
    </row>
    <row r="35" spans="1:20" s="1" customFormat="true" ht="10.95" customHeight="true">
      <c r="A35" s="7" t="s">
        <v>3</v>
      </c>
      <c r="B35" s="30" t="s">
        <v>4</v>
      </c>
      <c r="C35" s="7" t="s">
        <v>5</v>
      </c>
      <c r="D35" s="30" t="s">
        <v>6</v>
      </c>
      <c r="E35" s="30" t="s">
        <v>7</v>
      </c>
      <c r="F35" s="30" t="s">
        <v>8</v>
      </c>
      <c r="G35" s="30" t="s">
        <v>9</v>
      </c>
      <c r="H35" s="30"/>
      <c r="I35" s="7" t="s">
        <v>10</v>
      </c>
      <c r="J35" s="7" t="s">
        <v>11</v>
      </c>
      <c r="K35" s="8" t="s">
        <v>12</v>
      </c>
      <c r="L35" s="9"/>
      <c r="M35" s="7" t="s">
        <v>11</v>
      </c>
      <c r="N35" s="52" t="s">
        <v>13</v>
      </c>
      <c r="O35" s="52"/>
      <c r="P35" s="9"/>
      <c r="Q35" s="9" t="s">
        <v>14</v>
      </c>
      <c r="R35" s="9" t="s">
        <v>15</v>
      </c>
      <c r="T35" s="78"/>
    </row>
    <row r="36" spans="1:20" s="1" customFormat="true" ht="16.05" customHeight="true">
      <c r="A36" s="10"/>
      <c r="B36" s="30"/>
      <c r="C36" s="10"/>
      <c r="D36" s="30"/>
      <c r="E36" s="30"/>
      <c r="F36" s="30"/>
      <c r="G36" s="30"/>
      <c r="H36" s="30"/>
      <c r="I36" s="10"/>
      <c r="J36" s="10"/>
      <c r="K36" s="14"/>
      <c r="L36" s="15"/>
      <c r="M36" s="10"/>
      <c r="N36" s="53"/>
      <c r="O36" s="53"/>
      <c r="P36" s="15"/>
      <c r="Q36" s="15"/>
      <c r="R36" s="15"/>
      <c r="T36" s="78"/>
    </row>
    <row r="37" spans="1:20" s="1" customFormat="true" ht="28.95" customHeight="true">
      <c r="A37" s="13"/>
      <c r="B37" s="30"/>
      <c r="C37" s="13"/>
      <c r="D37" s="30"/>
      <c r="E37" s="30"/>
      <c r="F37" s="30"/>
      <c r="G37" s="30"/>
      <c r="H37" s="30"/>
      <c r="I37" s="13"/>
      <c r="J37" s="13"/>
      <c r="K37" s="54" t="s">
        <v>16</v>
      </c>
      <c r="L37" s="55" t="s">
        <v>17</v>
      </c>
      <c r="M37" s="13"/>
      <c r="N37" s="55" t="s">
        <v>18</v>
      </c>
      <c r="O37" s="55" t="s">
        <v>19</v>
      </c>
      <c r="P37" s="55" t="s">
        <v>20</v>
      </c>
      <c r="Q37" s="55" t="s">
        <v>21</v>
      </c>
      <c r="R37" s="55" t="s">
        <v>22</v>
      </c>
      <c r="T37" s="78"/>
    </row>
    <row r="38" spans="1:20" s="2" customFormat="true" ht="13.95" customHeight="true">
      <c r="A38" s="16">
        <v>4</v>
      </c>
      <c r="B38" s="17" t="str">
        <f>=DISPIMG("ID_C484E533D0A64BD0AED7C3A6E2B62C13",1)</f>
        <v>=DISPIMG("ID_C484E533D0A64BD0AED7C3A6E2B62C13",1)</v>
      </c>
      <c r="C38" s="18" t="s">
        <v>203</v>
      </c>
      <c r="D38" s="18" t="s">
        <v>200</v>
      </c>
      <c r="E38" s="19"/>
      <c r="F38" s="19"/>
      <c r="G38" s="20" t="s">
        <v>42</v>
      </c>
      <c r="H38" s="21" t="str">
        <f>=DISPIMG("ID_8F380A1AC5504443BC46A8ABA2178AB0",1)</f>
        <v>=DISPIMG("ID_8F380A1AC5504443BC46A8ABA2178AB0",1)</v>
      </c>
      <c r="I38" s="56">
        <v>13.95</v>
      </c>
      <c r="J38" s="57" t="s">
        <v>26</v>
      </c>
      <c r="K38" s="23">
        <v>10</v>
      </c>
      <c r="L38" s="58">
        <f>I38*K38</f>
        <v>139.5</v>
      </c>
      <c r="M38" s="57" t="s">
        <v>26</v>
      </c>
      <c r="N38" s="23">
        <v>0</v>
      </c>
      <c r="O38" s="23">
        <v>2</v>
      </c>
      <c r="P38" s="23">
        <f t="shared" ref="P38:P43" si="6">MAX(0,K38-O38)</f>
        <v>8</v>
      </c>
      <c r="Q38" s="23">
        <v>2</v>
      </c>
      <c r="R38" s="23"/>
      <c r="T38" s="79"/>
    </row>
    <row r="39" spans="1:20" s="2" customFormat="true">
      <c r="A39" s="16"/>
      <c r="B39" s="16"/>
      <c r="C39" s="22"/>
      <c r="D39" s="22"/>
      <c r="E39" s="23"/>
      <c r="F39" s="23"/>
      <c r="G39" s="20"/>
      <c r="H39" s="21"/>
      <c r="I39" s="59"/>
      <c r="J39" s="57" t="s">
        <v>27</v>
      </c>
      <c r="K39" s="23">
        <v>39</v>
      </c>
      <c r="L39" s="58">
        <f>I38*K39</f>
        <v>544.05</v>
      </c>
      <c r="M39" s="57" t="s">
        <v>27</v>
      </c>
      <c r="N39" s="23">
        <v>0</v>
      </c>
      <c r="O39" s="23">
        <v>5</v>
      </c>
      <c r="P39" s="23">
        <f t="shared" si="6"/>
        <v>34</v>
      </c>
      <c r="Q39" s="23">
        <v>1</v>
      </c>
      <c r="R39" s="23"/>
      <c r="T39" s="79"/>
    </row>
    <row r="40" spans="1:20" s="2" customFormat="true">
      <c r="A40" s="16"/>
      <c r="B40" s="16"/>
      <c r="C40" s="22"/>
      <c r="D40" s="22"/>
      <c r="E40" s="23"/>
      <c r="F40" s="23"/>
      <c r="G40" s="20"/>
      <c r="H40" s="21"/>
      <c r="I40" s="59"/>
      <c r="J40" s="57" t="s">
        <v>28</v>
      </c>
      <c r="K40" s="23">
        <v>161</v>
      </c>
      <c r="L40" s="58">
        <f>I38*K40</f>
        <v>2245.95</v>
      </c>
      <c r="M40" s="57" t="s">
        <v>28</v>
      </c>
      <c r="N40" s="23">
        <v>0</v>
      </c>
      <c r="O40" s="23">
        <v>4</v>
      </c>
      <c r="P40" s="23">
        <f t="shared" si="6"/>
        <v>157</v>
      </c>
      <c r="Q40" s="23">
        <v>2</v>
      </c>
      <c r="R40" s="23"/>
      <c r="T40" s="79"/>
    </row>
    <row r="41" spans="1:20" s="2" customFormat="true">
      <c r="A41" s="16"/>
      <c r="B41" s="16"/>
      <c r="C41" s="22"/>
      <c r="D41" s="22"/>
      <c r="E41" s="23"/>
      <c r="F41" s="23"/>
      <c r="G41" s="20"/>
      <c r="H41" s="21"/>
      <c r="I41" s="59"/>
      <c r="J41" s="57" t="s">
        <v>29</v>
      </c>
      <c r="K41" s="23">
        <v>119</v>
      </c>
      <c r="L41" s="58">
        <f>I38*K41</f>
        <v>1660.05</v>
      </c>
      <c r="M41" s="57" t="s">
        <v>29</v>
      </c>
      <c r="N41" s="23">
        <v>0</v>
      </c>
      <c r="O41" s="23">
        <v>5</v>
      </c>
      <c r="P41" s="23">
        <f t="shared" si="6"/>
        <v>114</v>
      </c>
      <c r="Q41" s="23">
        <v>4</v>
      </c>
      <c r="R41" s="23"/>
      <c r="T41" s="79"/>
    </row>
    <row r="42" spans="1:20" s="2" customFormat="true">
      <c r="A42" s="16"/>
      <c r="B42" s="16"/>
      <c r="C42" s="22"/>
      <c r="D42" s="22"/>
      <c r="E42" s="23"/>
      <c r="F42" s="23"/>
      <c r="G42" s="20"/>
      <c r="H42" s="21"/>
      <c r="I42" s="59"/>
      <c r="J42" s="57" t="s">
        <v>30</v>
      </c>
      <c r="K42" s="23">
        <v>19</v>
      </c>
      <c r="L42" s="58">
        <f>I38*K42</f>
        <v>265.05</v>
      </c>
      <c r="M42" s="57" t="s">
        <v>30</v>
      </c>
      <c r="N42" s="23">
        <v>0</v>
      </c>
      <c r="O42" s="23">
        <v>3</v>
      </c>
      <c r="P42" s="23">
        <f t="shared" si="6"/>
        <v>16</v>
      </c>
      <c r="Q42" s="23">
        <v>2</v>
      </c>
      <c r="R42" s="23"/>
      <c r="T42" s="79"/>
    </row>
    <row r="43" spans="1:20" s="2" customFormat="true">
      <c r="A43" s="16"/>
      <c r="B43" s="16"/>
      <c r="C43" s="22"/>
      <c r="D43" s="22"/>
      <c r="E43" s="23"/>
      <c r="F43" s="23"/>
      <c r="G43" s="20"/>
      <c r="H43" s="21"/>
      <c r="I43" s="60"/>
      <c r="J43" s="23" t="s">
        <v>31</v>
      </c>
      <c r="K43" s="23">
        <v>11</v>
      </c>
      <c r="L43" s="58">
        <f>I38*K43</f>
        <v>153.45</v>
      </c>
      <c r="M43" s="23" t="s">
        <v>31</v>
      </c>
      <c r="N43" s="23">
        <v>0</v>
      </c>
      <c r="O43" s="23">
        <v>4</v>
      </c>
      <c r="P43" s="23">
        <f t="shared" si="6"/>
        <v>7</v>
      </c>
      <c r="Q43" s="23">
        <v>2</v>
      </c>
      <c r="R43" s="23"/>
      <c r="T43" s="79"/>
    </row>
    <row r="44" spans="1:20" s="2" customFormat="true">
      <c r="A44" s="24"/>
      <c r="B44" s="24"/>
      <c r="C44" s="25"/>
      <c r="D44" s="25"/>
      <c r="E44" s="23"/>
      <c r="F44" s="23"/>
      <c r="G44" s="26"/>
      <c r="H44" s="27"/>
      <c r="I44" s="62"/>
      <c r="J44" s="61" t="s">
        <v>32</v>
      </c>
      <c r="K44" s="62">
        <f t="shared" ref="K44:N44" si="7">SUM(K38:K43)</f>
        <v>359</v>
      </c>
      <c r="L44" s="63">
        <f t="shared" si="7"/>
        <v>5008.05</v>
      </c>
      <c r="M44" s="61" t="s">
        <v>32</v>
      </c>
      <c r="N44" s="62">
        <f t="shared" si="7"/>
        <v>0</v>
      </c>
      <c r="O44" s="62" cm="1">
        <f t="array" ref="O44">SUMPRODUCT(--(O38:O43))</f>
        <v>23</v>
      </c>
      <c r="P44" s="64" cm="1">
        <f t="array" ref="P44">SUMPRODUCT(--(P38:P43))</f>
        <v>336</v>
      </c>
      <c r="Q44" s="64">
        <f>SUM(Q38:Q43)</f>
        <v>13</v>
      </c>
      <c r="R44" s="64">
        <f>SUM(R38:R43)</f>
        <v>0</v>
      </c>
      <c r="T44" s="79"/>
    </row>
    <row r="45" spans="1:20" s="2" customFormat="true" ht="17.4" customHeight="true">
      <c r="A45" s="28"/>
      <c r="B45" s="29"/>
      <c r="C45" s="29"/>
      <c r="D45" s="29"/>
      <c r="E45" s="29"/>
      <c r="F45" s="29"/>
      <c r="G45" s="29"/>
      <c r="H45" s="29"/>
      <c r="I45" s="29"/>
      <c r="J45" s="29"/>
      <c r="K45" s="29"/>
      <c r="L45" s="29"/>
      <c r="M45" s="29"/>
      <c r="N45" s="29"/>
      <c r="O45" s="29"/>
      <c r="P45" s="29"/>
      <c r="T45" s="79"/>
    </row>
    <row r="46" spans="1:20" s="1" customFormat="true" ht="10.95" customHeight="true">
      <c r="A46" s="7" t="s">
        <v>3</v>
      </c>
      <c r="B46" s="30" t="s">
        <v>4</v>
      </c>
      <c r="C46" s="7" t="s">
        <v>5</v>
      </c>
      <c r="D46" s="30" t="s">
        <v>6</v>
      </c>
      <c r="E46" s="30" t="s">
        <v>7</v>
      </c>
      <c r="F46" s="30" t="s">
        <v>8</v>
      </c>
      <c r="G46" s="30" t="s">
        <v>9</v>
      </c>
      <c r="H46" s="30"/>
      <c r="I46" s="7" t="s">
        <v>10</v>
      </c>
      <c r="J46" s="7" t="s">
        <v>11</v>
      </c>
      <c r="K46" s="8" t="s">
        <v>12</v>
      </c>
      <c r="L46" s="9"/>
      <c r="M46" s="7" t="s">
        <v>11</v>
      </c>
      <c r="N46" s="52" t="s">
        <v>13</v>
      </c>
      <c r="O46" s="52"/>
      <c r="P46" s="9"/>
      <c r="Q46" s="9" t="s">
        <v>14</v>
      </c>
      <c r="R46" s="9" t="s">
        <v>15</v>
      </c>
      <c r="T46" s="78"/>
    </row>
    <row r="47" spans="1:20" s="1" customFormat="true" ht="16.05" customHeight="true">
      <c r="A47" s="10"/>
      <c r="B47" s="30"/>
      <c r="C47" s="10"/>
      <c r="D47" s="30"/>
      <c r="E47" s="30"/>
      <c r="F47" s="30"/>
      <c r="G47" s="30"/>
      <c r="H47" s="30"/>
      <c r="I47" s="10"/>
      <c r="J47" s="10"/>
      <c r="K47" s="14"/>
      <c r="L47" s="15"/>
      <c r="M47" s="10"/>
      <c r="N47" s="53"/>
      <c r="O47" s="53"/>
      <c r="P47" s="15"/>
      <c r="Q47" s="15"/>
      <c r="R47" s="15"/>
      <c r="T47" s="78"/>
    </row>
    <row r="48" spans="1:20" s="1" customFormat="true" ht="28.95" customHeight="true">
      <c r="A48" s="13"/>
      <c r="B48" s="30"/>
      <c r="C48" s="13"/>
      <c r="D48" s="30"/>
      <c r="E48" s="30"/>
      <c r="F48" s="30"/>
      <c r="G48" s="30"/>
      <c r="H48" s="30"/>
      <c r="I48" s="13"/>
      <c r="J48" s="13"/>
      <c r="K48" s="54" t="s">
        <v>16</v>
      </c>
      <c r="L48" s="55" t="s">
        <v>17</v>
      </c>
      <c r="M48" s="13"/>
      <c r="N48" s="55" t="s">
        <v>18</v>
      </c>
      <c r="O48" s="55" t="s">
        <v>19</v>
      </c>
      <c r="P48" s="55" t="s">
        <v>20</v>
      </c>
      <c r="Q48" s="55" t="s">
        <v>21</v>
      </c>
      <c r="R48" s="55" t="s">
        <v>22</v>
      </c>
      <c r="T48" s="78"/>
    </row>
    <row r="49" spans="1:20" s="2" customFormat="true" ht="13.95" customHeight="true">
      <c r="A49" s="16">
        <v>5</v>
      </c>
      <c r="B49" s="17" t="str">
        <f>=DISPIMG("ID_53E59918E7914F46B8C195DC8E21C72B",1)</f>
        <v>=DISPIMG("ID_53E59918E7914F46B8C195DC8E21C72B",1)</v>
      </c>
      <c r="C49" s="18" t="s">
        <v>204</v>
      </c>
      <c r="D49" s="18" t="s">
        <v>200</v>
      </c>
      <c r="E49" s="19"/>
      <c r="F49" s="19"/>
      <c r="G49" s="20" t="s">
        <v>44</v>
      </c>
      <c r="H49" s="21" t="str">
        <f>=DISPIMG("ID_BD17E93505EF4101BE52790D91703AA6",1)</f>
        <v>=DISPIMG("ID_BD17E93505EF4101BE52790D91703AA6",1)</v>
      </c>
      <c r="I49" s="56">
        <v>13.95</v>
      </c>
      <c r="J49" s="57" t="s">
        <v>26</v>
      </c>
      <c r="K49" s="23">
        <v>13</v>
      </c>
      <c r="L49" s="58">
        <f>I49*K49</f>
        <v>181.35</v>
      </c>
      <c r="M49" s="57" t="s">
        <v>26</v>
      </c>
      <c r="N49" s="23">
        <v>0</v>
      </c>
      <c r="O49" s="23">
        <v>2</v>
      </c>
      <c r="P49" s="23">
        <f t="shared" ref="P49:P54" si="8">MAX(0,K49-O49)</f>
        <v>11</v>
      </c>
      <c r="Q49" s="23">
        <v>0</v>
      </c>
      <c r="R49" s="23"/>
      <c r="T49" s="79"/>
    </row>
    <row r="50" spans="1:20" s="2" customFormat="true">
      <c r="A50" s="16"/>
      <c r="B50" s="16"/>
      <c r="C50" s="22"/>
      <c r="D50" s="22"/>
      <c r="E50" s="23"/>
      <c r="F50" s="23"/>
      <c r="G50" s="20"/>
      <c r="H50" s="21"/>
      <c r="I50" s="59"/>
      <c r="J50" s="57" t="s">
        <v>27</v>
      </c>
      <c r="K50" s="23">
        <v>46</v>
      </c>
      <c r="L50" s="58">
        <f>I49*K50</f>
        <v>641.7</v>
      </c>
      <c r="M50" s="57" t="s">
        <v>27</v>
      </c>
      <c r="N50" s="23">
        <v>0</v>
      </c>
      <c r="O50" s="23">
        <v>3</v>
      </c>
      <c r="P50" s="23">
        <f t="shared" si="8"/>
        <v>43</v>
      </c>
      <c r="Q50" s="23">
        <v>1</v>
      </c>
      <c r="R50" s="23"/>
      <c r="T50" s="79"/>
    </row>
    <row r="51" spans="1:20" s="2" customFormat="true">
      <c r="A51" s="16"/>
      <c r="B51" s="16"/>
      <c r="C51" s="22"/>
      <c r="D51" s="22"/>
      <c r="E51" s="23"/>
      <c r="F51" s="23"/>
      <c r="G51" s="20"/>
      <c r="H51" s="21"/>
      <c r="I51" s="59"/>
      <c r="J51" s="57" t="s">
        <v>28</v>
      </c>
      <c r="K51" s="23">
        <v>174</v>
      </c>
      <c r="L51" s="58">
        <f>I49*K51</f>
        <v>2427.3</v>
      </c>
      <c r="M51" s="57" t="s">
        <v>28</v>
      </c>
      <c r="N51" s="23">
        <v>0</v>
      </c>
      <c r="O51" s="23">
        <v>11</v>
      </c>
      <c r="P51" s="23">
        <f t="shared" si="8"/>
        <v>163</v>
      </c>
      <c r="Q51" s="23">
        <v>3</v>
      </c>
      <c r="R51" s="23"/>
      <c r="T51" s="79"/>
    </row>
    <row r="52" spans="1:20" s="2" customFormat="true">
      <c r="A52" s="16"/>
      <c r="B52" s="16"/>
      <c r="C52" s="22"/>
      <c r="D52" s="22"/>
      <c r="E52" s="23"/>
      <c r="F52" s="23"/>
      <c r="G52" s="20"/>
      <c r="H52" s="21"/>
      <c r="I52" s="59"/>
      <c r="J52" s="57" t="s">
        <v>29</v>
      </c>
      <c r="K52" s="23">
        <v>127</v>
      </c>
      <c r="L52" s="58">
        <f>I49*K52</f>
        <v>1771.65</v>
      </c>
      <c r="M52" s="57" t="s">
        <v>29</v>
      </c>
      <c r="N52" s="23">
        <v>0</v>
      </c>
      <c r="O52" s="23">
        <v>3</v>
      </c>
      <c r="P52" s="23">
        <f t="shared" si="8"/>
        <v>124</v>
      </c>
      <c r="Q52" s="23">
        <v>2</v>
      </c>
      <c r="R52" s="23"/>
      <c r="T52" s="79"/>
    </row>
    <row r="53" spans="1:20" s="2" customFormat="true">
      <c r="A53" s="16"/>
      <c r="B53" s="16"/>
      <c r="C53" s="22"/>
      <c r="D53" s="22"/>
      <c r="E53" s="23"/>
      <c r="F53" s="23"/>
      <c r="G53" s="20"/>
      <c r="H53" s="21"/>
      <c r="I53" s="59"/>
      <c r="J53" s="57" t="s">
        <v>30</v>
      </c>
      <c r="K53" s="23">
        <v>26</v>
      </c>
      <c r="L53" s="58">
        <f>I49*K53</f>
        <v>362.7</v>
      </c>
      <c r="M53" s="57" t="s">
        <v>30</v>
      </c>
      <c r="N53" s="23">
        <v>0</v>
      </c>
      <c r="O53" s="23">
        <v>2</v>
      </c>
      <c r="P53" s="23">
        <f t="shared" si="8"/>
        <v>24</v>
      </c>
      <c r="Q53" s="23">
        <v>0</v>
      </c>
      <c r="R53" s="23"/>
      <c r="T53" s="79"/>
    </row>
    <row r="54" spans="1:20" s="2" customFormat="true">
      <c r="A54" s="16"/>
      <c r="B54" s="16"/>
      <c r="C54" s="22"/>
      <c r="D54" s="22"/>
      <c r="E54" s="23"/>
      <c r="F54" s="23"/>
      <c r="G54" s="20"/>
      <c r="H54" s="21"/>
      <c r="I54" s="60"/>
      <c r="J54" s="23" t="s">
        <v>31</v>
      </c>
      <c r="K54" s="23">
        <v>12</v>
      </c>
      <c r="L54" s="58">
        <f>I49*K54</f>
        <v>167.4</v>
      </c>
      <c r="M54" s="23" t="s">
        <v>31</v>
      </c>
      <c r="N54" s="23">
        <v>0</v>
      </c>
      <c r="O54" s="23">
        <v>0</v>
      </c>
      <c r="P54" s="23">
        <f t="shared" si="8"/>
        <v>12</v>
      </c>
      <c r="Q54" s="23">
        <v>0</v>
      </c>
      <c r="R54" s="23"/>
      <c r="T54" s="79"/>
    </row>
    <row r="55" spans="1:20" s="2" customFormat="true">
      <c r="A55" s="24"/>
      <c r="B55" s="24"/>
      <c r="C55" s="25"/>
      <c r="D55" s="25"/>
      <c r="E55" s="23"/>
      <c r="F55" s="23"/>
      <c r="G55" s="26"/>
      <c r="H55" s="27"/>
      <c r="I55" s="62"/>
      <c r="J55" s="61" t="s">
        <v>32</v>
      </c>
      <c r="K55" s="62">
        <f t="shared" ref="K55:N55" si="9">SUM(K49:K54)</f>
        <v>398</v>
      </c>
      <c r="L55" s="63">
        <f t="shared" si="9"/>
        <v>5552.1</v>
      </c>
      <c r="M55" s="61" t="s">
        <v>32</v>
      </c>
      <c r="N55" s="62">
        <f t="shared" si="9"/>
        <v>0</v>
      </c>
      <c r="O55" s="62" cm="1">
        <f t="array" ref="O55">SUMPRODUCT(--(O49:O54))</f>
        <v>21</v>
      </c>
      <c r="P55" s="64" cm="1">
        <f t="array" ref="P55">SUMPRODUCT(--(P49:P54))</f>
        <v>377</v>
      </c>
      <c r="Q55" s="64">
        <f>SUM(Q49:Q54)</f>
        <v>6</v>
      </c>
      <c r="R55" s="64">
        <f>SUM(R49:R54)</f>
        <v>0</v>
      </c>
      <c r="T55" s="79"/>
    </row>
    <row r="56" spans="1:16" s="3" customFormat="true">
      <c r="A56" s="4"/>
      <c r="B56" s="4"/>
      <c r="C56" s="31"/>
      <c r="D56" s="31"/>
      <c r="E56" s="31"/>
      <c r="F56" s="31"/>
      <c r="G56" s="31"/>
      <c r="H56" s="31"/>
      <c r="I56" s="65"/>
      <c r="J56" s="31"/>
      <c r="K56" s="65"/>
      <c r="L56" s="65"/>
      <c r="M56" s="31"/>
      <c r="N56" s="65"/>
      <c r="O56" s="65"/>
      <c r="P56" s="65"/>
    </row>
    <row r="57"/>
    <row r="58" spans="1:14" ht="46" customHeight="true">
      <c r="A58" s="32" t="s">
        <v>45</v>
      </c>
      <c r="B58" s="33"/>
      <c r="C58" s="34" t="s">
        <v>5</v>
      </c>
      <c r="D58" s="35" t="s">
        <v>6</v>
      </c>
      <c r="E58" s="35" t="s">
        <v>7</v>
      </c>
      <c r="F58" s="35" t="s">
        <v>8</v>
      </c>
      <c r="G58" s="32" t="s">
        <v>9</v>
      </c>
      <c r="H58" s="33"/>
      <c r="I58" s="34" t="s">
        <v>46</v>
      </c>
      <c r="J58" s="34" t="s">
        <v>47</v>
      </c>
      <c r="K58" s="66" t="s">
        <v>48</v>
      </c>
      <c r="L58" s="67"/>
      <c r="M58" s="32" t="s">
        <v>49</v>
      </c>
      <c r="N58" s="33"/>
    </row>
    <row r="59" spans="1:14" ht="25.05" customHeight="true">
      <c r="A59" s="36"/>
      <c r="B59" s="37"/>
      <c r="C59" s="18" t="s">
        <v>205</v>
      </c>
      <c r="D59" s="18" t="s">
        <v>200</v>
      </c>
      <c r="E59" s="38"/>
      <c r="F59" s="38"/>
      <c r="G59" s="39" t="s">
        <v>187</v>
      </c>
      <c r="H59" s="40"/>
      <c r="I59" s="68" t="str">
        <f>SUM(K11,K22,K33,K44,K55)&amp;"件"</f>
        <v>1610件</v>
      </c>
      <c r="J59" s="68" t="str">
        <f>SUM(O11,O22,O33,O44,O55)&amp;"件"</f>
        <v>133件</v>
      </c>
      <c r="K59" s="69" t="str">
        <f>SUM(P11,P22,P33,P44,P55)&amp;"件"</f>
        <v>1477件</v>
      </c>
      <c r="L59" s="70"/>
      <c r="M59" s="71"/>
      <c r="N59" s="70"/>
    </row>
    <row r="60" spans="1:14" ht="25.05" customHeight="true">
      <c r="A60" s="41"/>
      <c r="B60" s="42"/>
      <c r="C60" s="22"/>
      <c r="D60" s="22"/>
      <c r="E60" s="43"/>
      <c r="F60" s="43"/>
      <c r="G60" s="44"/>
      <c r="H60" s="45"/>
      <c r="I60" s="16"/>
      <c r="J60" s="16"/>
      <c r="K60" s="72"/>
      <c r="L60" s="73"/>
      <c r="M60" s="74"/>
      <c r="N60" s="73"/>
    </row>
    <row r="61" spans="1:14">
      <c r="A61" s="41"/>
      <c r="B61" s="42"/>
      <c r="C61" s="22"/>
      <c r="D61" s="22"/>
      <c r="E61" s="43"/>
      <c r="F61" s="43"/>
      <c r="G61" s="44"/>
      <c r="H61" s="45"/>
      <c r="I61" s="16"/>
      <c r="J61" s="16"/>
      <c r="K61" s="72"/>
      <c r="L61" s="73"/>
      <c r="M61" s="74"/>
      <c r="N61" s="73"/>
    </row>
    <row r="62" spans="1:14">
      <c r="A62" s="41"/>
      <c r="B62" s="42"/>
      <c r="C62" s="22"/>
      <c r="D62" s="22"/>
      <c r="E62" s="43"/>
      <c r="F62" s="43"/>
      <c r="G62" s="44"/>
      <c r="H62" s="45"/>
      <c r="I62" s="16"/>
      <c r="J62" s="16"/>
      <c r="K62" s="72"/>
      <c r="L62" s="73"/>
      <c r="M62" s="74"/>
      <c r="N62" s="73"/>
    </row>
    <row r="63" spans="1:14">
      <c r="A63" s="41"/>
      <c r="B63" s="42"/>
      <c r="C63" s="22"/>
      <c r="D63" s="22"/>
      <c r="E63" s="43"/>
      <c r="F63" s="43"/>
      <c r="G63" s="44"/>
      <c r="H63" s="45"/>
      <c r="I63" s="16"/>
      <c r="J63" s="16"/>
      <c r="K63" s="72"/>
      <c r="L63" s="73"/>
      <c r="M63" s="74"/>
      <c r="N63" s="73"/>
    </row>
    <row r="64" spans="1:14" customHeight="true">
      <c r="A64" s="41"/>
      <c r="B64" s="42"/>
      <c r="C64" s="22"/>
      <c r="D64" s="22"/>
      <c r="E64" s="43"/>
      <c r="F64" s="43"/>
      <c r="G64" s="44"/>
      <c r="H64" s="45"/>
      <c r="I64" s="16"/>
      <c r="J64" s="16"/>
      <c r="K64" s="72"/>
      <c r="L64" s="73"/>
      <c r="M64" s="74"/>
      <c r="N64" s="73"/>
    </row>
    <row r="65" spans="1:14">
      <c r="A65" s="46"/>
      <c r="B65" s="47"/>
      <c r="C65" s="25"/>
      <c r="D65" s="25"/>
      <c r="E65" s="48"/>
      <c r="F65" s="48"/>
      <c r="G65" s="49"/>
      <c r="H65" s="50"/>
      <c r="I65" s="24"/>
      <c r="J65" s="24"/>
      <c r="K65" s="75"/>
      <c r="L65" s="76"/>
      <c r="M65" s="77"/>
      <c r="N65" s="76"/>
    </row>
  </sheetData>
  <mergeCells count="136">
    <mergeCell ref="A1:L1"/>
    <mergeCell ref="M1:O1"/>
    <mergeCell ref="P1:R1"/>
    <mergeCell ref="A12:P12"/>
    <mergeCell ref="A23:P23"/>
    <mergeCell ref="A34:P34"/>
    <mergeCell ref="A45:P45"/>
    <mergeCell ref="A58:B58"/>
    <mergeCell ref="G58:H58"/>
    <mergeCell ref="K58:L58"/>
    <mergeCell ref="M58:N58"/>
    <mergeCell ref="A2:A4"/>
    <mergeCell ref="A5:A11"/>
    <mergeCell ref="A13:A15"/>
    <mergeCell ref="A16:A22"/>
    <mergeCell ref="A24:A26"/>
    <mergeCell ref="A27:A33"/>
    <mergeCell ref="A35:A37"/>
    <mergeCell ref="A38:A44"/>
    <mergeCell ref="A46:A48"/>
    <mergeCell ref="A49:A55"/>
    <mergeCell ref="B2:B4"/>
    <mergeCell ref="B5:B11"/>
    <mergeCell ref="B13:B15"/>
    <mergeCell ref="B16:B22"/>
    <mergeCell ref="B24:B26"/>
    <mergeCell ref="B27:B33"/>
    <mergeCell ref="B35:B37"/>
    <mergeCell ref="B38:B44"/>
    <mergeCell ref="B46:B48"/>
    <mergeCell ref="B49:B55"/>
    <mergeCell ref="C2:C4"/>
    <mergeCell ref="C5:C11"/>
    <mergeCell ref="C13:C15"/>
    <mergeCell ref="C16:C22"/>
    <mergeCell ref="C24:C26"/>
    <mergeCell ref="C27:C33"/>
    <mergeCell ref="C35:C37"/>
    <mergeCell ref="C38:C44"/>
    <mergeCell ref="C46:C48"/>
    <mergeCell ref="C49:C55"/>
    <mergeCell ref="C59:C65"/>
    <mergeCell ref="D2:D4"/>
    <mergeCell ref="D5:D11"/>
    <mergeCell ref="D13:D15"/>
    <mergeCell ref="D16:D22"/>
    <mergeCell ref="D24:D26"/>
    <mergeCell ref="D27:D33"/>
    <mergeCell ref="D35:D37"/>
    <mergeCell ref="D38:D44"/>
    <mergeCell ref="D46:D48"/>
    <mergeCell ref="D49:D55"/>
    <mergeCell ref="D59:D65"/>
    <mergeCell ref="E2:E4"/>
    <mergeCell ref="E5:E11"/>
    <mergeCell ref="E13:E15"/>
    <mergeCell ref="E16:E22"/>
    <mergeCell ref="E24:E26"/>
    <mergeCell ref="E27:E33"/>
    <mergeCell ref="E35:E37"/>
    <mergeCell ref="E38:E44"/>
    <mergeCell ref="E46:E48"/>
    <mergeCell ref="E49:E55"/>
    <mergeCell ref="E59:E65"/>
    <mergeCell ref="F2:F4"/>
    <mergeCell ref="F5:F11"/>
    <mergeCell ref="F13:F15"/>
    <mergeCell ref="F16:F22"/>
    <mergeCell ref="F24:F26"/>
    <mergeCell ref="F27:F33"/>
    <mergeCell ref="F35:F37"/>
    <mergeCell ref="F38:F44"/>
    <mergeCell ref="F46:F48"/>
    <mergeCell ref="F49:F55"/>
    <mergeCell ref="F59:F65"/>
    <mergeCell ref="G5:G11"/>
    <mergeCell ref="G16:G22"/>
    <mergeCell ref="G27:G33"/>
    <mergeCell ref="G38:G44"/>
    <mergeCell ref="G49:G55"/>
    <mergeCell ref="H5:H11"/>
    <mergeCell ref="H16:H22"/>
    <mergeCell ref="H27:H33"/>
    <mergeCell ref="H38:H44"/>
    <mergeCell ref="H49:H55"/>
    <mergeCell ref="I2:I4"/>
    <mergeCell ref="I5:I10"/>
    <mergeCell ref="I13:I15"/>
    <mergeCell ref="I16:I21"/>
    <mergeCell ref="I24:I26"/>
    <mergeCell ref="I27:I32"/>
    <mergeCell ref="I35:I37"/>
    <mergeCell ref="I38:I43"/>
    <mergeCell ref="I46:I48"/>
    <mergeCell ref="I49:I54"/>
    <mergeCell ref="I59:I65"/>
    <mergeCell ref="J2:J4"/>
    <mergeCell ref="J13:J15"/>
    <mergeCell ref="J24:J26"/>
    <mergeCell ref="J35:J37"/>
    <mergeCell ref="J46:J48"/>
    <mergeCell ref="J59:J65"/>
    <mergeCell ref="M2:M4"/>
    <mergeCell ref="M13:M15"/>
    <mergeCell ref="M24:M26"/>
    <mergeCell ref="M35:M37"/>
    <mergeCell ref="M46:M48"/>
    <mergeCell ref="Q2:Q3"/>
    <mergeCell ref="Q13:Q14"/>
    <mergeCell ref="Q24:Q25"/>
    <mergeCell ref="Q35:Q36"/>
    <mergeCell ref="Q46:Q47"/>
    <mergeCell ref="R2:R3"/>
    <mergeCell ref="R13:R14"/>
    <mergeCell ref="R24:R25"/>
    <mergeCell ref="R35:R36"/>
    <mergeCell ref="R46:R47"/>
    <mergeCell ref="G2:H4"/>
    <mergeCell ref="K2:L3"/>
    <mergeCell ref="N2:P3"/>
    <mergeCell ref="G13:H15"/>
    <mergeCell ref="K13:L14"/>
    <mergeCell ref="N13:P14"/>
    <mergeCell ref="G24:H26"/>
    <mergeCell ref="K24:L25"/>
    <mergeCell ref="N24:P25"/>
    <mergeCell ref="G35:H37"/>
    <mergeCell ref="K35:L36"/>
    <mergeCell ref="N35:P36"/>
    <mergeCell ref="G46:H48"/>
    <mergeCell ref="K46:L47"/>
    <mergeCell ref="N46:P47"/>
    <mergeCell ref="A59:B65"/>
    <mergeCell ref="G59:H65"/>
    <mergeCell ref="K59:L65"/>
    <mergeCell ref="M59:N65"/>
  </mergeCells>
  <pageMargins left="0.75" right="0.75" top="1" bottom="1" header="0.5" footer="0.5"/>
  <pageSetup orientation="portrait" paperSize="9"/>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U65"/>
  <sheetViews>
    <sheetView topLeftCell="A23" zoomScale="85" zoomScaleNormal="85" workbookViewId="0">
      <selection activeCell="P49" sqref="P49:P54"/>
    </sheetView>
  </sheetViews>
  <sheetFormatPr defaultColWidth="8.55555555555556" defaultRowHeight="14.4"/>
  <cols>
    <col customWidth="true" max="1" min="1" style="3" width="7"/>
    <col customWidth="true" max="2" min="2" style="3" width="8.77777777777778"/>
    <col customWidth="true" max="3" min="3" style="3" width="18.6388888888889"/>
    <col customWidth="true" max="4" min="4" style="3" width="9.88888888888889"/>
    <col customWidth="true" hidden="true" max="5" min="5" style="3" width="12.7777777777778"/>
    <col customWidth="true" hidden="true" max="6" min="6" style="3" width="12.6666666666667"/>
    <col customWidth="true" max="7" min="7" style="3" width="13.5740740740741"/>
    <col customWidth="true" max="8" min="8" style="3" width="11.5555555555556"/>
    <col customWidth="true" max="9" min="9" style="3" width="13.9444444444444"/>
    <col customWidth="true" max="10" min="10" style="4" width="13.2037037037037"/>
    <col customWidth="true" max="11" min="11" style="3" width="12.5833333333333"/>
    <col customWidth="true" max="12" min="12" style="3" width="15.3055555555556"/>
    <col customWidth="true" max="13" min="13" style="4" width="12.5925925925926"/>
    <col customWidth="true" max="14" min="14" style="3" width="10.8611111111111"/>
    <col customWidth="true" max="15" min="15" style="3" width="11.3518518518519"/>
    <col customWidth="true" max="18" min="16" style="3" width="13.0833333333333"/>
    <col max="16384" min="19" style="3" width="8.55555555555556"/>
  </cols>
  <sheetData>
    <row r="1" spans="1:20" s="1" customFormat="true" ht="58.8" customHeight="true">
      <c r="A1" s="5" t="s">
        <v>206</v>
      </c>
      <c r="B1" s="6"/>
      <c r="C1" s="6"/>
      <c r="D1" s="6"/>
      <c r="E1" s="6"/>
      <c r="F1" s="6"/>
      <c r="G1" s="6"/>
      <c r="H1" s="6"/>
      <c r="I1" s="6"/>
      <c r="J1" s="6"/>
      <c r="K1" s="6"/>
      <c r="L1" s="6"/>
      <c r="M1" s="6" t="s">
        <v>207</v>
      </c>
      <c r="N1" s="6"/>
      <c r="O1" s="6"/>
      <c r="P1" s="51" t="s">
        <v>2</v>
      </c>
      <c r="Q1" s="6"/>
      <c r="R1" s="6"/>
      <c r="T1" s="78"/>
    </row>
    <row r="2" spans="1:20" s="1" customFormat="true" ht="10.95" customHeight="true">
      <c r="A2" s="7" t="s">
        <v>3</v>
      </c>
      <c r="B2" s="7" t="s">
        <v>4</v>
      </c>
      <c r="C2" s="7" t="s">
        <v>55</v>
      </c>
      <c r="D2" s="7" t="s">
        <v>6</v>
      </c>
      <c r="E2" s="7" t="s">
        <v>7</v>
      </c>
      <c r="F2" s="7" t="s">
        <v>8</v>
      </c>
      <c r="G2" s="8" t="s">
        <v>9</v>
      </c>
      <c r="H2" s="9"/>
      <c r="I2" s="7" t="s">
        <v>10</v>
      </c>
      <c r="J2" s="7" t="s">
        <v>11</v>
      </c>
      <c r="K2" s="52" t="s">
        <v>12</v>
      </c>
      <c r="L2" s="9"/>
      <c r="M2" s="7" t="s">
        <v>11</v>
      </c>
      <c r="N2" s="52" t="s">
        <v>13</v>
      </c>
      <c r="O2" s="52"/>
      <c r="P2" s="9"/>
      <c r="Q2" s="9" t="s">
        <v>14</v>
      </c>
      <c r="R2" s="9" t="s">
        <v>15</v>
      </c>
      <c r="T2" s="78"/>
    </row>
    <row r="3" spans="1:20" s="1" customFormat="true" ht="16.05" customHeight="true">
      <c r="A3" s="10"/>
      <c r="B3" s="10"/>
      <c r="C3" s="10"/>
      <c r="D3" s="10"/>
      <c r="E3" s="10"/>
      <c r="F3" s="10"/>
      <c r="G3" s="11"/>
      <c r="H3" s="12"/>
      <c r="I3" s="10"/>
      <c r="J3" s="10"/>
      <c r="K3" s="53"/>
      <c r="L3" s="15"/>
      <c r="M3" s="10"/>
      <c r="N3" s="53"/>
      <c r="O3" s="53"/>
      <c r="P3" s="15"/>
      <c r="Q3" s="15"/>
      <c r="R3" s="15"/>
      <c r="T3" s="78"/>
    </row>
    <row r="4" spans="1:20" s="1" customFormat="true" ht="28.95" customHeight="true">
      <c r="A4" s="13"/>
      <c r="B4" s="13"/>
      <c r="C4" s="13"/>
      <c r="D4" s="13"/>
      <c r="E4" s="13"/>
      <c r="F4" s="13"/>
      <c r="G4" s="14"/>
      <c r="H4" s="15"/>
      <c r="I4" s="13"/>
      <c r="J4" s="13"/>
      <c r="K4" s="54" t="s">
        <v>16</v>
      </c>
      <c r="L4" s="55" t="s">
        <v>17</v>
      </c>
      <c r="M4" s="13"/>
      <c r="N4" s="55" t="s">
        <v>18</v>
      </c>
      <c r="O4" s="55" t="s">
        <v>19</v>
      </c>
      <c r="P4" s="55" t="s">
        <v>20</v>
      </c>
      <c r="Q4" s="55" t="s">
        <v>21</v>
      </c>
      <c r="R4" s="55" t="s">
        <v>22</v>
      </c>
      <c r="T4" s="78"/>
    </row>
    <row r="5" spans="1:20" s="2" customFormat="true" customHeight="true">
      <c r="A5" s="16">
        <v>1</v>
      </c>
      <c r="B5" s="17" t="str">
        <f>=DISPIMG("ID_91CC761231F549EF9D3D8886ECE6A24E",1)</f>
        <v>=DISPIMG("ID_91CC761231F549EF9D3D8886ECE6A24E",1)</v>
      </c>
      <c r="C5" s="18" t="s">
        <v>208</v>
      </c>
      <c r="D5" s="18" t="s">
        <v>209</v>
      </c>
      <c r="E5" s="19"/>
      <c r="F5" s="19"/>
      <c r="G5" s="20" t="s">
        <v>25</v>
      </c>
      <c r="H5" s="21" t="str">
        <f>=DISPIMG("ID_C53A9180E470419EA3D55C8CB613D3A5",1)</f>
        <v>=DISPIMG("ID_C53A9180E470419EA3D55C8CB613D3A5",1)</v>
      </c>
      <c r="I5" s="56">
        <v>16.18</v>
      </c>
      <c r="J5" s="57" t="s">
        <v>26</v>
      </c>
      <c r="K5" s="23">
        <v>6</v>
      </c>
      <c r="L5" s="58">
        <f>I5*K5</f>
        <v>97.08</v>
      </c>
      <c r="M5" s="57" t="s">
        <v>26</v>
      </c>
      <c r="N5" s="23">
        <v>0</v>
      </c>
      <c r="O5" s="23">
        <v>6</v>
      </c>
      <c r="P5" s="23">
        <f t="shared" ref="P5:P10" si="0">MAX(0,K5-O5)</f>
        <v>0</v>
      </c>
      <c r="Q5" s="23">
        <v>0</v>
      </c>
      <c r="R5" s="23"/>
      <c r="T5" s="79"/>
    </row>
    <row r="6" spans="1:20" s="2" customFormat="true">
      <c r="A6" s="16"/>
      <c r="B6" s="16"/>
      <c r="C6" s="22"/>
      <c r="D6" s="22"/>
      <c r="E6" s="23"/>
      <c r="F6" s="23"/>
      <c r="G6" s="20"/>
      <c r="H6" s="21"/>
      <c r="I6" s="59"/>
      <c r="J6" s="57" t="s">
        <v>27</v>
      </c>
      <c r="K6" s="23">
        <v>25</v>
      </c>
      <c r="L6" s="58">
        <f>I5*K6</f>
        <v>404.5</v>
      </c>
      <c r="M6" s="57" t="s">
        <v>27</v>
      </c>
      <c r="N6" s="23">
        <v>0</v>
      </c>
      <c r="O6" s="23">
        <v>19</v>
      </c>
      <c r="P6" s="23">
        <f t="shared" si="0"/>
        <v>6</v>
      </c>
      <c r="Q6" s="23">
        <v>6</v>
      </c>
      <c r="R6" s="23"/>
      <c r="T6" s="79"/>
    </row>
    <row r="7" spans="1:20" s="2" customFormat="true">
      <c r="A7" s="16"/>
      <c r="B7" s="16"/>
      <c r="C7" s="22"/>
      <c r="D7" s="22"/>
      <c r="E7" s="23"/>
      <c r="F7" s="23"/>
      <c r="G7" s="20"/>
      <c r="H7" s="21"/>
      <c r="I7" s="59"/>
      <c r="J7" s="57" t="s">
        <v>28</v>
      </c>
      <c r="K7" s="23">
        <v>47</v>
      </c>
      <c r="L7" s="58">
        <f>I5*K7</f>
        <v>760.46</v>
      </c>
      <c r="M7" s="57" t="s">
        <v>28</v>
      </c>
      <c r="N7" s="23">
        <v>0</v>
      </c>
      <c r="O7" s="23">
        <v>15</v>
      </c>
      <c r="P7" s="23">
        <f t="shared" si="0"/>
        <v>32</v>
      </c>
      <c r="Q7" s="23">
        <v>5</v>
      </c>
      <c r="R7" s="23"/>
      <c r="T7" s="79"/>
    </row>
    <row r="8" spans="1:20" s="2" customFormat="true">
      <c r="A8" s="16"/>
      <c r="B8" s="16"/>
      <c r="C8" s="22"/>
      <c r="D8" s="22"/>
      <c r="E8" s="23"/>
      <c r="F8" s="23"/>
      <c r="G8" s="20"/>
      <c r="H8" s="21"/>
      <c r="I8" s="59"/>
      <c r="J8" s="57" t="s">
        <v>29</v>
      </c>
      <c r="K8" s="23">
        <v>26</v>
      </c>
      <c r="L8" s="58">
        <f>I5*K8</f>
        <v>420.68</v>
      </c>
      <c r="M8" s="57" t="s">
        <v>29</v>
      </c>
      <c r="N8" s="23">
        <v>0</v>
      </c>
      <c r="O8" s="23">
        <v>12</v>
      </c>
      <c r="P8" s="23">
        <f t="shared" si="0"/>
        <v>14</v>
      </c>
      <c r="Q8" s="23">
        <v>3</v>
      </c>
      <c r="R8" s="23"/>
      <c r="T8" s="79"/>
    </row>
    <row r="9" spans="1:20" s="2" customFormat="true">
      <c r="A9" s="16"/>
      <c r="B9" s="16"/>
      <c r="C9" s="22"/>
      <c r="D9" s="22"/>
      <c r="E9" s="23"/>
      <c r="F9" s="23"/>
      <c r="G9" s="20"/>
      <c r="H9" s="21"/>
      <c r="I9" s="59"/>
      <c r="J9" s="57" t="s">
        <v>30</v>
      </c>
      <c r="K9" s="23">
        <v>18</v>
      </c>
      <c r="L9" s="58">
        <f>I5*K9</f>
        <v>291.24</v>
      </c>
      <c r="M9" s="57" t="s">
        <v>30</v>
      </c>
      <c r="N9" s="23">
        <v>0</v>
      </c>
      <c r="O9" s="23">
        <v>8</v>
      </c>
      <c r="P9" s="23">
        <f t="shared" si="0"/>
        <v>10</v>
      </c>
      <c r="Q9" s="23">
        <v>2</v>
      </c>
      <c r="R9" s="23"/>
      <c r="T9" s="79"/>
    </row>
    <row r="10" spans="1:20" s="2" customFormat="true">
      <c r="A10" s="16"/>
      <c r="B10" s="16"/>
      <c r="C10" s="22"/>
      <c r="D10" s="22"/>
      <c r="E10" s="23"/>
      <c r="F10" s="23"/>
      <c r="G10" s="20"/>
      <c r="H10" s="21"/>
      <c r="I10" s="60"/>
      <c r="J10" s="23" t="s">
        <v>31</v>
      </c>
      <c r="K10" s="23">
        <v>8</v>
      </c>
      <c r="L10" s="58">
        <f>I5*K10</f>
        <v>129.44</v>
      </c>
      <c r="M10" s="23" t="s">
        <v>31</v>
      </c>
      <c r="N10" s="23">
        <v>0</v>
      </c>
      <c r="O10" s="23">
        <v>9</v>
      </c>
      <c r="P10" s="23">
        <f t="shared" si="0"/>
        <v>0</v>
      </c>
      <c r="Q10" s="23">
        <v>1</v>
      </c>
      <c r="R10" s="23"/>
      <c r="T10" s="79"/>
    </row>
    <row r="11" spans="1:20" s="2" customFormat="true">
      <c r="A11" s="24"/>
      <c r="B11" s="24"/>
      <c r="C11" s="25"/>
      <c r="D11" s="25"/>
      <c r="E11" s="23"/>
      <c r="F11" s="23"/>
      <c r="G11" s="26"/>
      <c r="H11" s="27"/>
      <c r="J11" s="61" t="s">
        <v>32</v>
      </c>
      <c r="K11" s="62">
        <f t="shared" ref="K11:N11" si="1">SUM(K5:K10)</f>
        <v>130</v>
      </c>
      <c r="L11" s="63">
        <f t="shared" si="1"/>
        <v>2103.4</v>
      </c>
      <c r="M11" s="61" t="s">
        <v>32</v>
      </c>
      <c r="N11" s="62">
        <f t="shared" si="1"/>
        <v>0</v>
      </c>
      <c r="O11" s="62" cm="1">
        <f t="array" ref="O11">SUMPRODUCT(--(O5:O10))</f>
        <v>69</v>
      </c>
      <c r="P11" s="64" cm="1">
        <f t="array" ref="P11">SUMPRODUCT(--(P5:P10))</f>
        <v>62</v>
      </c>
      <c r="Q11" s="64">
        <f>SUM(Q5:Q10)</f>
        <v>17</v>
      </c>
      <c r="R11" s="64">
        <f>SUM(R5:R10)</f>
        <v>0</v>
      </c>
      <c r="T11" s="79"/>
    </row>
    <row r="12" spans="1:20" s="2" customFormat="true" ht="17.4" customHeight="true">
      <c r="A12" s="28"/>
      <c r="B12" s="29"/>
      <c r="C12" s="29"/>
      <c r="D12" s="29"/>
      <c r="E12" s="29"/>
      <c r="F12" s="29"/>
      <c r="G12" s="29"/>
      <c r="H12" s="29"/>
      <c r="I12" s="29"/>
      <c r="J12" s="29"/>
      <c r="K12" s="29"/>
      <c r="L12" s="29"/>
      <c r="M12" s="29"/>
      <c r="N12" s="29"/>
      <c r="O12" s="29"/>
      <c r="P12" s="29"/>
      <c r="Q12" s="29"/>
      <c r="R12" s="29"/>
      <c r="T12" s="79"/>
    </row>
    <row r="13" spans="1:21" s="1" customFormat="true" ht="10.95" customHeight="true">
      <c r="A13" s="7" t="s">
        <v>3</v>
      </c>
      <c r="B13" s="30" t="s">
        <v>4</v>
      </c>
      <c r="C13" s="30" t="s">
        <v>55</v>
      </c>
      <c r="D13" s="30" t="s">
        <v>6</v>
      </c>
      <c r="E13" s="30" t="s">
        <v>7</v>
      </c>
      <c r="F13" s="30" t="s">
        <v>8</v>
      </c>
      <c r="G13" s="30" t="s">
        <v>9</v>
      </c>
      <c r="H13" s="30"/>
      <c r="I13" s="7" t="s">
        <v>10</v>
      </c>
      <c r="J13" s="7" t="s">
        <v>11</v>
      </c>
      <c r="K13" s="8" t="s">
        <v>12</v>
      </c>
      <c r="L13" s="9"/>
      <c r="M13" s="7" t="s">
        <v>11</v>
      </c>
      <c r="N13" s="52" t="s">
        <v>13</v>
      </c>
      <c r="O13" s="52"/>
      <c r="P13" s="9"/>
      <c r="Q13" s="9" t="s">
        <v>14</v>
      </c>
      <c r="R13" s="9" t="s">
        <v>15</v>
      </c>
      <c r="T13" s="78"/>
      <c r="U13" s="2"/>
    </row>
    <row r="14" spans="1:20" s="1" customFormat="true" ht="16.05" customHeight="true">
      <c r="A14" s="10"/>
      <c r="B14" s="30"/>
      <c r="C14" s="30"/>
      <c r="D14" s="30"/>
      <c r="E14" s="30"/>
      <c r="F14" s="30"/>
      <c r="G14" s="30"/>
      <c r="H14" s="30"/>
      <c r="I14" s="10"/>
      <c r="J14" s="10"/>
      <c r="K14" s="14"/>
      <c r="L14" s="15"/>
      <c r="M14" s="10"/>
      <c r="N14" s="53"/>
      <c r="O14" s="53"/>
      <c r="P14" s="15"/>
      <c r="Q14" s="15"/>
      <c r="R14" s="15"/>
      <c r="T14" s="78"/>
    </row>
    <row r="15" spans="1:20" s="1" customFormat="true" ht="28.95" customHeight="true">
      <c r="A15" s="13"/>
      <c r="B15" s="30"/>
      <c r="C15" s="30"/>
      <c r="D15" s="30"/>
      <c r="E15" s="30"/>
      <c r="F15" s="30"/>
      <c r="G15" s="30"/>
      <c r="H15" s="30"/>
      <c r="I15" s="13"/>
      <c r="J15" s="13"/>
      <c r="K15" s="54" t="s">
        <v>16</v>
      </c>
      <c r="L15" s="55" t="s">
        <v>17</v>
      </c>
      <c r="M15" s="13"/>
      <c r="N15" s="55" t="s">
        <v>18</v>
      </c>
      <c r="O15" s="55" t="s">
        <v>19</v>
      </c>
      <c r="P15" s="55" t="s">
        <v>20</v>
      </c>
      <c r="Q15" s="55" t="s">
        <v>21</v>
      </c>
      <c r="R15" s="55" t="s">
        <v>22</v>
      </c>
      <c r="T15" s="78"/>
    </row>
    <row r="16" spans="1:20" s="2" customFormat="true" ht="13.95" customHeight="true">
      <c r="A16" s="16">
        <v>2</v>
      </c>
      <c r="B16" s="17" t="str">
        <f>=DISPIMG("ID_080FF3508D3C48BF929C110B58A4A3BA",1)</f>
        <v>=DISPIMG("ID_080FF3508D3C48BF929C110B58A4A3BA",1)</v>
      </c>
      <c r="C16" s="18" t="s">
        <v>210</v>
      </c>
      <c r="D16" s="18" t="s">
        <v>209</v>
      </c>
      <c r="E16" s="19"/>
      <c r="F16" s="19"/>
      <c r="G16" s="20" t="s">
        <v>34</v>
      </c>
      <c r="H16" s="21" t="str">
        <f>=DISPIMG("ID_D08FF2E544324F038FBCE8A32045E541",1)</f>
        <v>=DISPIMG("ID_D08FF2E544324F038FBCE8A32045E541",1)</v>
      </c>
      <c r="I16" s="56">
        <v>16.18</v>
      </c>
      <c r="J16" s="57" t="s">
        <v>26</v>
      </c>
      <c r="K16" s="23">
        <v>9</v>
      </c>
      <c r="L16" s="58">
        <f>I16*K16</f>
        <v>145.62</v>
      </c>
      <c r="M16" s="57" t="s">
        <v>26</v>
      </c>
      <c r="N16" s="23">
        <v>0</v>
      </c>
      <c r="O16" s="23">
        <v>2</v>
      </c>
      <c r="P16" s="23">
        <f t="shared" ref="P16:P21" si="2">MAX(0,K16-O16)</f>
        <v>7</v>
      </c>
      <c r="Q16" s="23">
        <v>1</v>
      </c>
      <c r="R16" s="23"/>
      <c r="T16" s="79"/>
    </row>
    <row r="17" spans="1:20" s="2" customFormat="true">
      <c r="A17" s="16"/>
      <c r="B17" s="16"/>
      <c r="C17" s="22"/>
      <c r="D17" s="22"/>
      <c r="E17" s="23"/>
      <c r="F17" s="23"/>
      <c r="G17" s="20"/>
      <c r="H17" s="21"/>
      <c r="I17" s="59"/>
      <c r="J17" s="57" t="s">
        <v>27</v>
      </c>
      <c r="K17" s="23">
        <v>25</v>
      </c>
      <c r="L17" s="58">
        <f>I16*K17</f>
        <v>404.5</v>
      </c>
      <c r="M17" s="57" t="s">
        <v>27</v>
      </c>
      <c r="N17" s="23">
        <v>0</v>
      </c>
      <c r="O17" s="23">
        <v>5</v>
      </c>
      <c r="P17" s="23">
        <f t="shared" si="2"/>
        <v>20</v>
      </c>
      <c r="Q17" s="23">
        <v>2</v>
      </c>
      <c r="R17" s="23"/>
      <c r="T17" s="79"/>
    </row>
    <row r="18" spans="1:20" s="2" customFormat="true">
      <c r="A18" s="16"/>
      <c r="B18" s="16"/>
      <c r="C18" s="22"/>
      <c r="D18" s="22"/>
      <c r="E18" s="23"/>
      <c r="F18" s="23"/>
      <c r="G18" s="20"/>
      <c r="H18" s="21"/>
      <c r="I18" s="59"/>
      <c r="J18" s="57" t="s">
        <v>28</v>
      </c>
      <c r="K18" s="23">
        <v>49</v>
      </c>
      <c r="L18" s="58">
        <f>I16*K18</f>
        <v>792.82</v>
      </c>
      <c r="M18" s="57" t="s">
        <v>28</v>
      </c>
      <c r="N18" s="23">
        <v>0</v>
      </c>
      <c r="O18" s="23">
        <v>8</v>
      </c>
      <c r="P18" s="23">
        <f t="shared" si="2"/>
        <v>41</v>
      </c>
      <c r="Q18" s="23">
        <v>1</v>
      </c>
      <c r="R18" s="23"/>
      <c r="T18" s="23">
        <v>108</v>
      </c>
    </row>
    <row r="19" spans="1:20" s="2" customFormat="true">
      <c r="A19" s="16"/>
      <c r="B19" s="16"/>
      <c r="C19" s="22"/>
      <c r="D19" s="22"/>
      <c r="E19" s="23"/>
      <c r="F19" s="23"/>
      <c r="G19" s="20"/>
      <c r="H19" s="21"/>
      <c r="I19" s="59"/>
      <c r="J19" s="57" t="s">
        <v>29</v>
      </c>
      <c r="K19" s="23">
        <v>25</v>
      </c>
      <c r="L19" s="58">
        <f>I16*K19</f>
        <v>404.5</v>
      </c>
      <c r="M19" s="57" t="s">
        <v>29</v>
      </c>
      <c r="N19" s="23">
        <v>0</v>
      </c>
      <c r="O19" s="23">
        <v>8</v>
      </c>
      <c r="P19" s="23">
        <f t="shared" si="2"/>
        <v>17</v>
      </c>
      <c r="Q19" s="23">
        <v>2</v>
      </c>
      <c r="R19" s="23"/>
      <c r="T19" s="79"/>
    </row>
    <row r="20" spans="1:20" s="2" customFormat="true">
      <c r="A20" s="16"/>
      <c r="B20" s="16"/>
      <c r="C20" s="22"/>
      <c r="D20" s="22"/>
      <c r="E20" s="23"/>
      <c r="F20" s="23"/>
      <c r="G20" s="20"/>
      <c r="H20" s="21"/>
      <c r="I20" s="59"/>
      <c r="J20" s="57" t="s">
        <v>30</v>
      </c>
      <c r="K20" s="23">
        <v>15</v>
      </c>
      <c r="L20" s="58">
        <f>I16*K20</f>
        <v>242.7</v>
      </c>
      <c r="M20" s="57" t="s">
        <v>30</v>
      </c>
      <c r="N20" s="23">
        <v>0</v>
      </c>
      <c r="O20" s="23">
        <v>6</v>
      </c>
      <c r="P20" s="23">
        <f t="shared" si="2"/>
        <v>9</v>
      </c>
      <c r="Q20" s="23">
        <v>2</v>
      </c>
      <c r="R20" s="23"/>
      <c r="T20" s="79"/>
    </row>
    <row r="21" spans="1:20" s="2" customFormat="true">
      <c r="A21" s="16"/>
      <c r="B21" s="16"/>
      <c r="C21" s="22"/>
      <c r="D21" s="22"/>
      <c r="E21" s="23"/>
      <c r="F21" s="23"/>
      <c r="G21" s="20"/>
      <c r="H21" s="21"/>
      <c r="I21" s="60"/>
      <c r="J21" s="23" t="s">
        <v>31</v>
      </c>
      <c r="K21" s="23">
        <v>9</v>
      </c>
      <c r="L21" s="58">
        <f>I16*K21</f>
        <v>145.62</v>
      </c>
      <c r="M21" s="23" t="s">
        <v>31</v>
      </c>
      <c r="N21" s="23">
        <v>0</v>
      </c>
      <c r="O21" s="23">
        <v>5</v>
      </c>
      <c r="P21" s="23">
        <f t="shared" si="2"/>
        <v>4</v>
      </c>
      <c r="Q21" s="23">
        <v>0</v>
      </c>
      <c r="R21" s="23"/>
      <c r="T21" s="79"/>
    </row>
    <row r="22" spans="1:20" s="2" customFormat="true">
      <c r="A22" s="24"/>
      <c r="B22" s="24"/>
      <c r="C22" s="25"/>
      <c r="D22" s="25"/>
      <c r="E22" s="23"/>
      <c r="F22" s="23"/>
      <c r="G22" s="26"/>
      <c r="H22" s="27"/>
      <c r="I22" s="62"/>
      <c r="J22" s="61" t="s">
        <v>32</v>
      </c>
      <c r="K22" s="62">
        <f t="shared" ref="K22:N22" si="3">SUM(K16:K21)</f>
        <v>132</v>
      </c>
      <c r="L22" s="63">
        <f t="shared" si="3"/>
        <v>2135.76</v>
      </c>
      <c r="M22" s="61" t="s">
        <v>32</v>
      </c>
      <c r="N22" s="62">
        <f t="shared" si="3"/>
        <v>0</v>
      </c>
      <c r="O22" s="62" cm="1">
        <f t="array" ref="O22">SUMPRODUCT(--(O16:O21))</f>
        <v>34</v>
      </c>
      <c r="P22" s="64" cm="1">
        <f t="array" ref="P22">SUMPRODUCT(--(P16:P21))</f>
        <v>98</v>
      </c>
      <c r="Q22" s="64">
        <f>SUM(Q16:Q21)</f>
        <v>8</v>
      </c>
      <c r="R22" s="64">
        <f>SUM(R16:R21)</f>
        <v>0</v>
      </c>
      <c r="T22" s="79"/>
    </row>
    <row r="23" spans="1:20" s="2" customFormat="true" ht="17.4" customHeight="true">
      <c r="A23" s="93" t="s">
        <v>87</v>
      </c>
      <c r="B23" s="29"/>
      <c r="C23" s="29"/>
      <c r="D23" s="29"/>
      <c r="E23" s="29"/>
      <c r="F23" s="29"/>
      <c r="G23" s="29"/>
      <c r="H23" s="29"/>
      <c r="I23" s="29"/>
      <c r="J23" s="29"/>
      <c r="K23" s="29"/>
      <c r="L23" s="29"/>
      <c r="M23" s="29"/>
      <c r="N23" s="29"/>
      <c r="O23" s="29"/>
      <c r="P23" s="29"/>
      <c r="Q23" s="65"/>
      <c r="R23" s="65"/>
      <c r="T23" s="79"/>
    </row>
    <row r="24" spans="1:20" s="1" customFormat="true" ht="10.95" customHeight="true">
      <c r="A24" s="7" t="s">
        <v>3</v>
      </c>
      <c r="B24" s="30" t="s">
        <v>4</v>
      </c>
      <c r="C24" s="30" t="s">
        <v>55</v>
      </c>
      <c r="D24" s="30" t="s">
        <v>6</v>
      </c>
      <c r="E24" s="30" t="s">
        <v>7</v>
      </c>
      <c r="F24" s="30" t="s">
        <v>8</v>
      </c>
      <c r="G24" s="30" t="s">
        <v>9</v>
      </c>
      <c r="H24" s="30"/>
      <c r="I24" s="7" t="s">
        <v>10</v>
      </c>
      <c r="J24" s="7" t="s">
        <v>11</v>
      </c>
      <c r="K24" s="8" t="s">
        <v>12</v>
      </c>
      <c r="L24" s="9"/>
      <c r="M24" s="7" t="s">
        <v>11</v>
      </c>
      <c r="N24" s="52" t="s">
        <v>13</v>
      </c>
      <c r="O24" s="52"/>
      <c r="P24" s="9"/>
      <c r="Q24" s="9" t="s">
        <v>14</v>
      </c>
      <c r="R24" s="9" t="s">
        <v>15</v>
      </c>
      <c r="T24" s="78"/>
    </row>
    <row r="25" spans="1:20" s="1" customFormat="true" ht="16.05" customHeight="true">
      <c r="A25" s="10"/>
      <c r="B25" s="30"/>
      <c r="C25" s="30"/>
      <c r="D25" s="30"/>
      <c r="E25" s="30"/>
      <c r="F25" s="30"/>
      <c r="G25" s="30"/>
      <c r="H25" s="30"/>
      <c r="I25" s="10"/>
      <c r="J25" s="10"/>
      <c r="K25" s="14"/>
      <c r="L25" s="15"/>
      <c r="M25" s="10"/>
      <c r="N25" s="53"/>
      <c r="O25" s="53"/>
      <c r="P25" s="15"/>
      <c r="Q25" s="15"/>
      <c r="R25" s="15"/>
      <c r="T25" s="78"/>
    </row>
    <row r="26" spans="1:20" s="1" customFormat="true" ht="28.95" customHeight="true">
      <c r="A26" s="13"/>
      <c r="B26" s="30"/>
      <c r="C26" s="30"/>
      <c r="D26" s="30"/>
      <c r="E26" s="30"/>
      <c r="F26" s="30"/>
      <c r="G26" s="30"/>
      <c r="H26" s="30"/>
      <c r="I26" s="13"/>
      <c r="J26" s="13"/>
      <c r="K26" s="54" t="s">
        <v>16</v>
      </c>
      <c r="L26" s="55" t="s">
        <v>17</v>
      </c>
      <c r="M26" s="13"/>
      <c r="N26" s="55" t="s">
        <v>18</v>
      </c>
      <c r="O26" s="55" t="s">
        <v>19</v>
      </c>
      <c r="P26" s="55" t="s">
        <v>20</v>
      </c>
      <c r="Q26" s="55" t="s">
        <v>21</v>
      </c>
      <c r="R26" s="55" t="s">
        <v>22</v>
      </c>
      <c r="T26" s="78"/>
    </row>
    <row r="27" spans="1:20" s="2" customFormat="true" ht="13.95" customHeight="true">
      <c r="A27" s="16">
        <v>3</v>
      </c>
      <c r="B27" s="17" t="str">
        <f>=DISPIMG("ID_EE43D28474EF4A47B9B1C88543ABA80E",1)</f>
        <v>=DISPIMG("ID_EE43D28474EF4A47B9B1C88543ABA80E",1)</v>
      </c>
      <c r="C27" s="18" t="s">
        <v>211</v>
      </c>
      <c r="D27" s="18" t="s">
        <v>209</v>
      </c>
      <c r="E27" s="19"/>
      <c r="F27" s="19"/>
      <c r="G27" s="20" t="s">
        <v>36</v>
      </c>
      <c r="H27" s="21" t="str">
        <f>=DISPIMG("ID_D580D75AC8DB4CEDB332B0024ACFF1E0",1)</f>
        <v>=DISPIMG("ID_D580D75AC8DB4CEDB332B0024ACFF1E0",1)</v>
      </c>
      <c r="I27" s="56">
        <v>16.18</v>
      </c>
      <c r="J27" s="57" t="s">
        <v>26</v>
      </c>
      <c r="K27" s="23">
        <v>4</v>
      </c>
      <c r="L27" s="58">
        <f>I27*K27</f>
        <v>64.72</v>
      </c>
      <c r="M27" s="57" t="s">
        <v>26</v>
      </c>
      <c r="N27" s="23">
        <v>0</v>
      </c>
      <c r="O27" s="23">
        <v>2</v>
      </c>
      <c r="P27" s="23">
        <f t="shared" ref="P27:P32" si="4">MAX(0,K27-O27)</f>
        <v>2</v>
      </c>
      <c r="Q27" s="23">
        <v>0</v>
      </c>
      <c r="R27" s="23"/>
      <c r="T27" s="79"/>
    </row>
    <row r="28" spans="1:20" s="2" customFormat="true">
      <c r="A28" s="16"/>
      <c r="B28" s="16"/>
      <c r="C28" s="22"/>
      <c r="D28" s="22"/>
      <c r="E28" s="23"/>
      <c r="F28" s="23"/>
      <c r="G28" s="20"/>
      <c r="H28" s="21"/>
      <c r="I28" s="59"/>
      <c r="J28" s="57" t="s">
        <v>27</v>
      </c>
      <c r="K28" s="23">
        <v>17</v>
      </c>
      <c r="L28" s="58">
        <f>I27*K28</f>
        <v>275.06</v>
      </c>
      <c r="M28" s="57" t="s">
        <v>27</v>
      </c>
      <c r="N28" s="23">
        <v>0</v>
      </c>
      <c r="O28" s="23">
        <v>4</v>
      </c>
      <c r="P28" s="23">
        <f t="shared" si="4"/>
        <v>13</v>
      </c>
      <c r="Q28" s="23">
        <v>1</v>
      </c>
      <c r="R28" s="23"/>
      <c r="T28" s="79"/>
    </row>
    <row r="29" spans="1:20" s="2" customFormat="true">
      <c r="A29" s="16"/>
      <c r="B29" s="16"/>
      <c r="C29" s="22"/>
      <c r="D29" s="22"/>
      <c r="E29" s="23"/>
      <c r="F29" s="23"/>
      <c r="G29" s="20"/>
      <c r="H29" s="21"/>
      <c r="I29" s="59"/>
      <c r="J29" s="57" t="s">
        <v>28</v>
      </c>
      <c r="K29" s="23">
        <v>32</v>
      </c>
      <c r="L29" s="58">
        <f>I27*K29</f>
        <v>517.76</v>
      </c>
      <c r="M29" s="57" t="s">
        <v>28</v>
      </c>
      <c r="N29" s="23">
        <v>0</v>
      </c>
      <c r="O29" s="23">
        <v>2</v>
      </c>
      <c r="P29" s="23">
        <f t="shared" si="4"/>
        <v>30</v>
      </c>
      <c r="Q29" s="23">
        <v>1</v>
      </c>
      <c r="R29" s="23"/>
      <c r="T29" s="79"/>
    </row>
    <row r="30" spans="1:20" s="2" customFormat="true">
      <c r="A30" s="16"/>
      <c r="B30" s="16"/>
      <c r="C30" s="22"/>
      <c r="D30" s="22"/>
      <c r="E30" s="23"/>
      <c r="F30" s="23"/>
      <c r="G30" s="20"/>
      <c r="H30" s="21"/>
      <c r="I30" s="59"/>
      <c r="J30" s="57" t="s">
        <v>29</v>
      </c>
      <c r="K30" s="23">
        <v>19</v>
      </c>
      <c r="L30" s="58">
        <f>I27*K30</f>
        <v>307.42</v>
      </c>
      <c r="M30" s="57" t="s">
        <v>29</v>
      </c>
      <c r="N30" s="23">
        <v>0</v>
      </c>
      <c r="O30" s="23">
        <v>0</v>
      </c>
      <c r="P30" s="23">
        <f t="shared" si="4"/>
        <v>19</v>
      </c>
      <c r="Q30" s="23">
        <v>0</v>
      </c>
      <c r="R30" s="23"/>
      <c r="T30" s="79"/>
    </row>
    <row r="31" spans="1:20" s="2" customFormat="true">
      <c r="A31" s="16"/>
      <c r="B31" s="16"/>
      <c r="C31" s="22"/>
      <c r="D31" s="22"/>
      <c r="E31" s="23"/>
      <c r="F31" s="23"/>
      <c r="G31" s="20"/>
      <c r="H31" s="21"/>
      <c r="I31" s="59"/>
      <c r="J31" s="57" t="s">
        <v>30</v>
      </c>
      <c r="K31" s="23">
        <v>7</v>
      </c>
      <c r="L31" s="58">
        <f>I27*K31</f>
        <v>113.26</v>
      </c>
      <c r="M31" s="57" t="s">
        <v>30</v>
      </c>
      <c r="N31" s="23">
        <v>0</v>
      </c>
      <c r="O31" s="23">
        <v>2</v>
      </c>
      <c r="P31" s="23">
        <f t="shared" si="4"/>
        <v>5</v>
      </c>
      <c r="Q31" s="23">
        <v>0</v>
      </c>
      <c r="R31" s="23"/>
      <c r="T31" s="79"/>
    </row>
    <row r="32" spans="1:20" s="2" customFormat="true">
      <c r="A32" s="16"/>
      <c r="B32" s="16"/>
      <c r="C32" s="22"/>
      <c r="D32" s="22"/>
      <c r="E32" s="23"/>
      <c r="F32" s="23"/>
      <c r="G32" s="20"/>
      <c r="H32" s="21"/>
      <c r="I32" s="60"/>
      <c r="J32" s="23" t="s">
        <v>31</v>
      </c>
      <c r="K32" s="23">
        <v>3</v>
      </c>
      <c r="L32" s="58">
        <f>I27*K32</f>
        <v>48.54</v>
      </c>
      <c r="M32" s="23" t="s">
        <v>31</v>
      </c>
      <c r="N32" s="23">
        <v>0</v>
      </c>
      <c r="O32" s="23">
        <v>3</v>
      </c>
      <c r="P32" s="23">
        <f t="shared" si="4"/>
        <v>0</v>
      </c>
      <c r="Q32" s="23">
        <v>2</v>
      </c>
      <c r="R32" s="23"/>
      <c r="T32" s="79"/>
    </row>
    <row r="33" spans="1:20" s="2" customFormat="true">
      <c r="A33" s="24"/>
      <c r="B33" s="24"/>
      <c r="C33" s="25"/>
      <c r="D33" s="25"/>
      <c r="E33" s="23"/>
      <c r="F33" s="23"/>
      <c r="G33" s="26"/>
      <c r="H33" s="27"/>
      <c r="I33" s="62"/>
      <c r="J33" s="61" t="s">
        <v>32</v>
      </c>
      <c r="K33" s="62">
        <f t="shared" ref="K33:N33" si="5">SUM(K27:K32)</f>
        <v>82</v>
      </c>
      <c r="L33" s="63">
        <f t="shared" si="5"/>
        <v>1326.76</v>
      </c>
      <c r="M33" s="61" t="s">
        <v>32</v>
      </c>
      <c r="N33" s="62">
        <f t="shared" si="5"/>
        <v>0</v>
      </c>
      <c r="O33" s="62" cm="1">
        <f t="array" ref="O33">SUMPRODUCT(--(O27:O32))</f>
        <v>13</v>
      </c>
      <c r="P33" s="64" cm="1">
        <f t="array" ref="P33">SUMPRODUCT(--(P27:P32))</f>
        <v>69</v>
      </c>
      <c r="Q33" s="64">
        <f>SUM(Q27:Q32)</f>
        <v>4</v>
      </c>
      <c r="R33" s="64">
        <f>SUM(R27:R32)</f>
        <v>0</v>
      </c>
      <c r="T33" s="79"/>
    </row>
    <row r="34" spans="1:20" s="2" customFormat="true" ht="17.4" customHeight="true">
      <c r="A34" s="28"/>
      <c r="B34" s="29"/>
      <c r="C34" s="29"/>
      <c r="D34" s="29"/>
      <c r="E34" s="29"/>
      <c r="F34" s="29"/>
      <c r="G34" s="29"/>
      <c r="H34" s="29"/>
      <c r="I34" s="29"/>
      <c r="J34" s="29"/>
      <c r="K34" s="29"/>
      <c r="L34" s="29"/>
      <c r="M34" s="29"/>
      <c r="N34" s="29"/>
      <c r="O34" s="29"/>
      <c r="P34" s="29"/>
      <c r="Q34" s="29"/>
      <c r="R34" s="29"/>
      <c r="T34" s="79"/>
    </row>
    <row r="35" spans="1:20" s="1" customFormat="true" ht="10.95" customHeight="true">
      <c r="A35" s="7" t="s">
        <v>3</v>
      </c>
      <c r="B35" s="30" t="s">
        <v>4</v>
      </c>
      <c r="C35" s="30" t="s">
        <v>55</v>
      </c>
      <c r="D35" s="30" t="s">
        <v>6</v>
      </c>
      <c r="E35" s="30" t="s">
        <v>7</v>
      </c>
      <c r="F35" s="30" t="s">
        <v>8</v>
      </c>
      <c r="G35" s="30" t="s">
        <v>9</v>
      </c>
      <c r="H35" s="30"/>
      <c r="I35" s="7" t="s">
        <v>10</v>
      </c>
      <c r="J35" s="7" t="s">
        <v>11</v>
      </c>
      <c r="K35" s="8" t="s">
        <v>12</v>
      </c>
      <c r="L35" s="9"/>
      <c r="M35" s="7" t="s">
        <v>11</v>
      </c>
      <c r="N35" s="52" t="s">
        <v>13</v>
      </c>
      <c r="O35" s="52"/>
      <c r="P35" s="9"/>
      <c r="Q35" s="9" t="s">
        <v>14</v>
      </c>
      <c r="R35" s="9" t="s">
        <v>15</v>
      </c>
      <c r="T35" s="78"/>
    </row>
    <row r="36" spans="1:20" s="1" customFormat="true" ht="16.05" customHeight="true">
      <c r="A36" s="10"/>
      <c r="B36" s="30"/>
      <c r="C36" s="30"/>
      <c r="D36" s="30"/>
      <c r="E36" s="30"/>
      <c r="F36" s="30"/>
      <c r="G36" s="30"/>
      <c r="H36" s="30"/>
      <c r="I36" s="10"/>
      <c r="J36" s="10"/>
      <c r="K36" s="14"/>
      <c r="L36" s="15"/>
      <c r="M36" s="10"/>
      <c r="N36" s="53"/>
      <c r="O36" s="53"/>
      <c r="P36" s="15"/>
      <c r="Q36" s="15"/>
      <c r="R36" s="15"/>
      <c r="T36" s="78"/>
    </row>
    <row r="37" spans="1:20" s="1" customFormat="true" ht="28.95" customHeight="true">
      <c r="A37" s="13"/>
      <c r="B37" s="30"/>
      <c r="C37" s="30"/>
      <c r="D37" s="30"/>
      <c r="E37" s="30"/>
      <c r="F37" s="30"/>
      <c r="G37" s="30"/>
      <c r="H37" s="30"/>
      <c r="I37" s="13"/>
      <c r="J37" s="13"/>
      <c r="K37" s="54" t="s">
        <v>16</v>
      </c>
      <c r="L37" s="55" t="s">
        <v>17</v>
      </c>
      <c r="M37" s="13"/>
      <c r="N37" s="55" t="s">
        <v>18</v>
      </c>
      <c r="O37" s="55" t="s">
        <v>19</v>
      </c>
      <c r="P37" s="55" t="s">
        <v>20</v>
      </c>
      <c r="Q37" s="55" t="s">
        <v>21</v>
      </c>
      <c r="R37" s="55" t="s">
        <v>22</v>
      </c>
      <c r="T37" s="78"/>
    </row>
    <row r="38" spans="1:20" s="2" customFormat="true" ht="13.95" customHeight="true">
      <c r="A38" s="16">
        <v>4</v>
      </c>
      <c r="B38" s="17" t="str">
        <f>=DISPIMG("ID_92D235D8CF4B4099962D027830201168",1)</f>
        <v>=DISPIMG("ID_92D235D8CF4B4099962D027830201168",1)</v>
      </c>
      <c r="C38" s="18" t="s">
        <v>212</v>
      </c>
      <c r="D38" s="18" t="s">
        <v>209</v>
      </c>
      <c r="E38" s="19"/>
      <c r="F38" s="19"/>
      <c r="G38" s="20" t="s">
        <v>42</v>
      </c>
      <c r="H38" s="21" t="str">
        <f>=DISPIMG("ID_8F380A1AC5504443BC46A8ABA2178AB0",1)</f>
        <v>=DISPIMG("ID_8F380A1AC5504443BC46A8ABA2178AB0",1)</v>
      </c>
      <c r="I38" s="56">
        <v>16.18</v>
      </c>
      <c r="J38" s="57" t="s">
        <v>26</v>
      </c>
      <c r="K38" s="23">
        <v>5</v>
      </c>
      <c r="L38" s="58">
        <f>I38*K38</f>
        <v>80.9</v>
      </c>
      <c r="M38" s="57" t="s">
        <v>26</v>
      </c>
      <c r="N38" s="23">
        <v>0</v>
      </c>
      <c r="O38" s="23">
        <v>10</v>
      </c>
      <c r="P38" s="23">
        <f t="shared" ref="P38:P43" si="6">MAX(0,K38-O38)</f>
        <v>0</v>
      </c>
      <c r="Q38" s="23">
        <v>5</v>
      </c>
      <c r="R38" s="23"/>
      <c r="T38" s="79"/>
    </row>
    <row r="39" spans="1:20" s="2" customFormat="true">
      <c r="A39" s="16"/>
      <c r="B39" s="16"/>
      <c r="C39" s="22"/>
      <c r="D39" s="22"/>
      <c r="E39" s="23"/>
      <c r="F39" s="23"/>
      <c r="G39" s="20"/>
      <c r="H39" s="21"/>
      <c r="I39" s="59"/>
      <c r="J39" s="57" t="s">
        <v>27</v>
      </c>
      <c r="K39" s="23">
        <v>24</v>
      </c>
      <c r="L39" s="58">
        <f>I38*K39</f>
        <v>388.32</v>
      </c>
      <c r="M39" s="57" t="s">
        <v>27</v>
      </c>
      <c r="N39" s="23">
        <v>0</v>
      </c>
      <c r="O39" s="23">
        <v>25</v>
      </c>
      <c r="P39" s="23">
        <f t="shared" si="6"/>
        <v>0</v>
      </c>
      <c r="Q39" s="23">
        <v>6</v>
      </c>
      <c r="R39" s="23"/>
      <c r="T39" s="79"/>
    </row>
    <row r="40" spans="1:20" s="2" customFormat="true">
      <c r="A40" s="16"/>
      <c r="B40" s="16"/>
      <c r="C40" s="22"/>
      <c r="D40" s="22"/>
      <c r="E40" s="23"/>
      <c r="F40" s="23"/>
      <c r="G40" s="20"/>
      <c r="H40" s="21"/>
      <c r="I40" s="59"/>
      <c r="J40" s="57" t="s">
        <v>28</v>
      </c>
      <c r="K40" s="23">
        <v>48</v>
      </c>
      <c r="L40" s="58">
        <f>I38*K40</f>
        <v>776.64</v>
      </c>
      <c r="M40" s="57" t="s">
        <v>28</v>
      </c>
      <c r="N40" s="23">
        <v>0</v>
      </c>
      <c r="O40" s="23">
        <v>24</v>
      </c>
      <c r="P40" s="23">
        <f t="shared" si="6"/>
        <v>24</v>
      </c>
      <c r="Q40" s="23">
        <v>9</v>
      </c>
      <c r="R40" s="23"/>
      <c r="T40" s="79"/>
    </row>
    <row r="41" spans="1:20" s="2" customFormat="true">
      <c r="A41" s="16"/>
      <c r="B41" s="16"/>
      <c r="C41" s="22"/>
      <c r="D41" s="22"/>
      <c r="E41" s="23"/>
      <c r="F41" s="23"/>
      <c r="G41" s="20"/>
      <c r="H41" s="21"/>
      <c r="I41" s="59"/>
      <c r="J41" s="57" t="s">
        <v>29</v>
      </c>
      <c r="K41" s="23">
        <v>24</v>
      </c>
      <c r="L41" s="58">
        <f>I38*K41</f>
        <v>388.32</v>
      </c>
      <c r="M41" s="57" t="s">
        <v>29</v>
      </c>
      <c r="N41" s="23">
        <v>0</v>
      </c>
      <c r="O41" s="23">
        <v>18</v>
      </c>
      <c r="P41" s="23">
        <f t="shared" si="6"/>
        <v>6</v>
      </c>
      <c r="Q41" s="23">
        <v>7</v>
      </c>
      <c r="R41" s="23"/>
      <c r="T41" s="79"/>
    </row>
    <row r="42" spans="1:20" s="2" customFormat="true">
      <c r="A42" s="16"/>
      <c r="B42" s="16"/>
      <c r="C42" s="22"/>
      <c r="D42" s="22"/>
      <c r="E42" s="23"/>
      <c r="F42" s="23"/>
      <c r="G42" s="20"/>
      <c r="H42" s="21"/>
      <c r="I42" s="59"/>
      <c r="J42" s="57" t="s">
        <v>30</v>
      </c>
      <c r="K42" s="23">
        <v>16</v>
      </c>
      <c r="L42" s="58">
        <f>I38*K42</f>
        <v>258.88</v>
      </c>
      <c r="M42" s="57" t="s">
        <v>30</v>
      </c>
      <c r="N42" s="23">
        <v>0</v>
      </c>
      <c r="O42" s="23">
        <v>10</v>
      </c>
      <c r="P42" s="23">
        <f t="shared" si="6"/>
        <v>6</v>
      </c>
      <c r="Q42" s="23">
        <v>2</v>
      </c>
      <c r="R42" s="23"/>
      <c r="T42" s="79"/>
    </row>
    <row r="43" spans="1:20" s="2" customFormat="true">
      <c r="A43" s="16"/>
      <c r="B43" s="16"/>
      <c r="C43" s="22"/>
      <c r="D43" s="22"/>
      <c r="E43" s="23"/>
      <c r="F43" s="23"/>
      <c r="G43" s="20"/>
      <c r="H43" s="21"/>
      <c r="I43" s="60"/>
      <c r="J43" s="23" t="s">
        <v>31</v>
      </c>
      <c r="K43" s="23">
        <v>9</v>
      </c>
      <c r="L43" s="58">
        <f>I38*K43</f>
        <v>145.62</v>
      </c>
      <c r="M43" s="23" t="s">
        <v>31</v>
      </c>
      <c r="N43" s="23">
        <v>0</v>
      </c>
      <c r="O43" s="23">
        <v>11</v>
      </c>
      <c r="P43" s="23">
        <f t="shared" si="6"/>
        <v>0</v>
      </c>
      <c r="Q43" s="23">
        <v>2</v>
      </c>
      <c r="R43" s="23"/>
      <c r="T43" s="79"/>
    </row>
    <row r="44" spans="1:20" s="2" customFormat="true">
      <c r="A44" s="24"/>
      <c r="B44" s="24"/>
      <c r="C44" s="25"/>
      <c r="D44" s="25"/>
      <c r="E44" s="23"/>
      <c r="F44" s="23"/>
      <c r="G44" s="26"/>
      <c r="H44" s="27"/>
      <c r="I44" s="62"/>
      <c r="J44" s="61" t="s">
        <v>32</v>
      </c>
      <c r="K44" s="62">
        <f t="shared" ref="K44:N44" si="7">SUM(K38:K43)</f>
        <v>126</v>
      </c>
      <c r="L44" s="63">
        <f t="shared" si="7"/>
        <v>2038.68</v>
      </c>
      <c r="M44" s="61" t="s">
        <v>32</v>
      </c>
      <c r="N44" s="62">
        <f t="shared" si="7"/>
        <v>0</v>
      </c>
      <c r="O44" s="62" cm="1">
        <f t="array" ref="O44">SUMPRODUCT(--(O38:O43))</f>
        <v>98</v>
      </c>
      <c r="P44" s="64" cm="1">
        <f t="array" ref="P44">SUMPRODUCT(--(P38:P43))</f>
        <v>36</v>
      </c>
      <c r="Q44" s="64">
        <f>SUM(Q38:Q43)</f>
        <v>31</v>
      </c>
      <c r="R44" s="64">
        <f>SUM(R38:R43)</f>
        <v>0</v>
      </c>
      <c r="T44" s="79"/>
    </row>
    <row r="45" spans="1:20" s="2" customFormat="true" ht="17.4" customHeight="true">
      <c r="A45" s="28"/>
      <c r="B45" s="29"/>
      <c r="C45" s="29"/>
      <c r="D45" s="29"/>
      <c r="E45" s="29"/>
      <c r="F45" s="29"/>
      <c r="G45" s="29"/>
      <c r="H45" s="29"/>
      <c r="I45" s="29"/>
      <c r="J45" s="29"/>
      <c r="K45" s="29"/>
      <c r="L45" s="29"/>
      <c r="M45" s="29"/>
      <c r="N45" s="29"/>
      <c r="O45" s="29"/>
      <c r="P45" s="29"/>
      <c r="T45" s="79"/>
    </row>
    <row r="46" spans="1:20" s="1" customFormat="true" ht="10.95" customHeight="true">
      <c r="A46" s="7" t="s">
        <v>3</v>
      </c>
      <c r="B46" s="30" t="s">
        <v>4</v>
      </c>
      <c r="C46" s="30" t="s">
        <v>55</v>
      </c>
      <c r="D46" s="30" t="s">
        <v>6</v>
      </c>
      <c r="E46" s="30" t="s">
        <v>7</v>
      </c>
      <c r="F46" s="30" t="s">
        <v>8</v>
      </c>
      <c r="G46" s="30" t="s">
        <v>9</v>
      </c>
      <c r="H46" s="30"/>
      <c r="I46" s="7" t="s">
        <v>10</v>
      </c>
      <c r="J46" s="7" t="s">
        <v>11</v>
      </c>
      <c r="K46" s="8" t="s">
        <v>12</v>
      </c>
      <c r="L46" s="9"/>
      <c r="M46" s="7" t="s">
        <v>11</v>
      </c>
      <c r="N46" s="52" t="s">
        <v>13</v>
      </c>
      <c r="O46" s="52"/>
      <c r="P46" s="9"/>
      <c r="Q46" s="9" t="s">
        <v>14</v>
      </c>
      <c r="R46" s="9" t="s">
        <v>15</v>
      </c>
      <c r="T46" s="78"/>
    </row>
    <row r="47" spans="1:20" s="1" customFormat="true" ht="16.05" customHeight="true">
      <c r="A47" s="10"/>
      <c r="B47" s="30"/>
      <c r="C47" s="30"/>
      <c r="D47" s="30"/>
      <c r="E47" s="30"/>
      <c r="F47" s="30"/>
      <c r="G47" s="30"/>
      <c r="H47" s="30"/>
      <c r="I47" s="10"/>
      <c r="J47" s="10"/>
      <c r="K47" s="14"/>
      <c r="L47" s="15"/>
      <c r="M47" s="10"/>
      <c r="N47" s="53"/>
      <c r="O47" s="53"/>
      <c r="P47" s="15"/>
      <c r="Q47" s="15"/>
      <c r="R47" s="15"/>
      <c r="T47" s="78"/>
    </row>
    <row r="48" spans="1:20" s="1" customFormat="true" ht="28.95" customHeight="true">
      <c r="A48" s="13"/>
      <c r="B48" s="30"/>
      <c r="C48" s="30"/>
      <c r="D48" s="30"/>
      <c r="E48" s="30"/>
      <c r="F48" s="30"/>
      <c r="G48" s="30"/>
      <c r="H48" s="30"/>
      <c r="I48" s="13"/>
      <c r="J48" s="13"/>
      <c r="K48" s="54" t="s">
        <v>16</v>
      </c>
      <c r="L48" s="55" t="s">
        <v>17</v>
      </c>
      <c r="M48" s="13"/>
      <c r="N48" s="55" t="s">
        <v>18</v>
      </c>
      <c r="O48" s="55" t="s">
        <v>19</v>
      </c>
      <c r="P48" s="55" t="s">
        <v>20</v>
      </c>
      <c r="Q48" s="55" t="s">
        <v>21</v>
      </c>
      <c r="R48" s="55" t="s">
        <v>22</v>
      </c>
      <c r="T48" s="78"/>
    </row>
    <row r="49" spans="1:20" s="2" customFormat="true" ht="13.95" customHeight="true">
      <c r="A49" s="16">
        <v>5</v>
      </c>
      <c r="B49" s="17" t="str">
        <f>=DISPIMG("ID_9600B6F00AAC41D2B3FD017A36087A3D",1)</f>
        <v>=DISPIMG("ID_9600B6F00AAC41D2B3FD017A36087A3D",1)</v>
      </c>
      <c r="C49" s="18" t="s">
        <v>213</v>
      </c>
      <c r="D49" s="18" t="s">
        <v>209</v>
      </c>
      <c r="E49" s="19"/>
      <c r="F49" s="19"/>
      <c r="G49" s="20" t="s">
        <v>44</v>
      </c>
      <c r="H49" s="21" t="str">
        <f>=DISPIMG("ID_B8466FECBC974E578F548CA1690EF2C6",1)</f>
        <v>=DISPIMG("ID_B8466FECBC974E578F548CA1690EF2C6",1)</v>
      </c>
      <c r="I49" s="56">
        <v>16.18</v>
      </c>
      <c r="J49" s="57" t="s">
        <v>26</v>
      </c>
      <c r="K49" s="23">
        <v>10</v>
      </c>
      <c r="L49" s="58">
        <f>I49*K49</f>
        <v>161.8</v>
      </c>
      <c r="M49" s="57" t="s">
        <v>26</v>
      </c>
      <c r="N49" s="23">
        <v>0</v>
      </c>
      <c r="O49" s="23">
        <v>1</v>
      </c>
      <c r="P49" s="23">
        <f t="shared" ref="P49:P54" si="8">MAX(0,K49-O49)</f>
        <v>9</v>
      </c>
      <c r="Q49" s="23">
        <v>0</v>
      </c>
      <c r="R49" s="55" t="s">
        <v>22</v>
      </c>
      <c r="T49" s="79"/>
    </row>
    <row r="50" spans="1:20" s="2" customFormat="true">
      <c r="A50" s="16"/>
      <c r="B50" s="16"/>
      <c r="C50" s="22"/>
      <c r="D50" s="22"/>
      <c r="E50" s="23"/>
      <c r="F50" s="23"/>
      <c r="G50" s="20"/>
      <c r="H50" s="21"/>
      <c r="I50" s="59"/>
      <c r="J50" s="57" t="s">
        <v>27</v>
      </c>
      <c r="K50" s="23">
        <v>28</v>
      </c>
      <c r="L50" s="58">
        <f>I49*K50</f>
        <v>453.04</v>
      </c>
      <c r="M50" s="57" t="s">
        <v>27</v>
      </c>
      <c r="N50" s="23">
        <v>0</v>
      </c>
      <c r="O50" s="23">
        <v>2</v>
      </c>
      <c r="P50" s="23">
        <f t="shared" si="8"/>
        <v>26</v>
      </c>
      <c r="Q50" s="23">
        <v>0</v>
      </c>
      <c r="R50" s="23"/>
      <c r="T50" s="79"/>
    </row>
    <row r="51" spans="1:20" s="2" customFormat="true">
      <c r="A51" s="16"/>
      <c r="B51" s="16"/>
      <c r="C51" s="22"/>
      <c r="D51" s="22"/>
      <c r="E51" s="23"/>
      <c r="F51" s="23"/>
      <c r="G51" s="20"/>
      <c r="H51" s="21"/>
      <c r="I51" s="59"/>
      <c r="J51" s="57" t="s">
        <v>28</v>
      </c>
      <c r="K51" s="23">
        <v>54</v>
      </c>
      <c r="L51" s="58">
        <f>I49*K51</f>
        <v>873.72</v>
      </c>
      <c r="M51" s="57" t="s">
        <v>28</v>
      </c>
      <c r="N51" s="23">
        <v>0</v>
      </c>
      <c r="O51" s="23">
        <v>8</v>
      </c>
      <c r="P51" s="23">
        <f t="shared" si="8"/>
        <v>46</v>
      </c>
      <c r="Q51" s="23">
        <v>3</v>
      </c>
      <c r="R51" s="23"/>
      <c r="T51" s="79"/>
    </row>
    <row r="52" spans="1:20" s="2" customFormat="true">
      <c r="A52" s="16"/>
      <c r="B52" s="16"/>
      <c r="C52" s="22"/>
      <c r="D52" s="22"/>
      <c r="E52" s="23"/>
      <c r="F52" s="23"/>
      <c r="G52" s="20"/>
      <c r="H52" s="21"/>
      <c r="I52" s="59"/>
      <c r="J52" s="57" t="s">
        <v>29</v>
      </c>
      <c r="K52" s="23">
        <v>28</v>
      </c>
      <c r="L52" s="58">
        <f>I49*K52</f>
        <v>453.04</v>
      </c>
      <c r="M52" s="57" t="s">
        <v>29</v>
      </c>
      <c r="N52" s="23">
        <v>0</v>
      </c>
      <c r="O52" s="23">
        <v>7</v>
      </c>
      <c r="P52" s="23">
        <f t="shared" si="8"/>
        <v>21</v>
      </c>
      <c r="Q52" s="23">
        <v>1</v>
      </c>
      <c r="R52" s="23"/>
      <c r="T52" s="79"/>
    </row>
    <row r="53" spans="1:20" s="2" customFormat="true">
      <c r="A53" s="16"/>
      <c r="B53" s="16"/>
      <c r="C53" s="22"/>
      <c r="D53" s="22"/>
      <c r="E53" s="23"/>
      <c r="F53" s="23"/>
      <c r="G53" s="20"/>
      <c r="H53" s="21"/>
      <c r="I53" s="59"/>
      <c r="J53" s="57" t="s">
        <v>30</v>
      </c>
      <c r="K53" s="23">
        <v>18</v>
      </c>
      <c r="L53" s="58">
        <f>I49*K53</f>
        <v>291.24</v>
      </c>
      <c r="M53" s="57" t="s">
        <v>30</v>
      </c>
      <c r="N53" s="23">
        <v>0</v>
      </c>
      <c r="O53" s="23">
        <v>6</v>
      </c>
      <c r="P53" s="23">
        <f t="shared" si="8"/>
        <v>12</v>
      </c>
      <c r="Q53" s="23">
        <v>4</v>
      </c>
      <c r="R53" s="23"/>
      <c r="T53" s="79"/>
    </row>
    <row r="54" spans="1:20" s="2" customFormat="true">
      <c r="A54" s="16"/>
      <c r="B54" s="16"/>
      <c r="C54" s="22"/>
      <c r="D54" s="22"/>
      <c r="E54" s="23"/>
      <c r="F54" s="23"/>
      <c r="G54" s="20"/>
      <c r="H54" s="21"/>
      <c r="I54" s="60"/>
      <c r="J54" s="23" t="s">
        <v>31</v>
      </c>
      <c r="K54" s="23">
        <v>10</v>
      </c>
      <c r="L54" s="58">
        <f>I49*K54</f>
        <v>161.8</v>
      </c>
      <c r="M54" s="23" t="s">
        <v>31</v>
      </c>
      <c r="N54" s="23">
        <v>0</v>
      </c>
      <c r="O54" s="23">
        <v>3</v>
      </c>
      <c r="P54" s="23">
        <f t="shared" si="8"/>
        <v>7</v>
      </c>
      <c r="Q54" s="23">
        <v>1</v>
      </c>
      <c r="R54" s="23"/>
      <c r="T54" s="79"/>
    </row>
    <row r="55" spans="1:20" s="2" customFormat="true">
      <c r="A55" s="24"/>
      <c r="B55" s="24"/>
      <c r="C55" s="25"/>
      <c r="D55" s="25"/>
      <c r="E55" s="23"/>
      <c r="F55" s="23"/>
      <c r="G55" s="26"/>
      <c r="H55" s="27"/>
      <c r="I55" s="62"/>
      <c r="J55" s="61" t="s">
        <v>32</v>
      </c>
      <c r="K55" s="62">
        <f t="shared" ref="K55:N55" si="9">SUM(K49:K54)</f>
        <v>148</v>
      </c>
      <c r="L55" s="63">
        <f t="shared" si="9"/>
        <v>2394.64</v>
      </c>
      <c r="M55" s="61" t="s">
        <v>32</v>
      </c>
      <c r="N55" s="62">
        <f t="shared" si="9"/>
        <v>0</v>
      </c>
      <c r="O55" s="62" cm="1">
        <f t="array" ref="O55">SUMPRODUCT(--(O49:O54))</f>
        <v>27</v>
      </c>
      <c r="P55" s="64" cm="1">
        <f t="array" ref="P55">SUMPRODUCT(--(P49:P54))</f>
        <v>121</v>
      </c>
      <c r="Q55" s="64">
        <f>SUM(Q49:Q54)</f>
        <v>9</v>
      </c>
      <c r="R55" s="64">
        <f>SUM(R49:R54)</f>
        <v>0</v>
      </c>
      <c r="T55" s="79"/>
    </row>
    <row r="56" spans="1:16" s="3" customFormat="true">
      <c r="A56" s="4"/>
      <c r="B56" s="4"/>
      <c r="C56" s="31"/>
      <c r="D56" s="31"/>
      <c r="E56" s="31"/>
      <c r="F56" s="31"/>
      <c r="G56" s="31"/>
      <c r="H56" s="31"/>
      <c r="I56" s="65"/>
      <c r="J56" s="31"/>
      <c r="K56" s="65"/>
      <c r="L56" s="65"/>
      <c r="M56" s="31"/>
      <c r="N56" s="65"/>
      <c r="O56" s="65"/>
      <c r="P56" s="65"/>
    </row>
    <row r="57"/>
    <row r="58" spans="1:14" ht="46" customHeight="true">
      <c r="A58" s="32" t="s">
        <v>45</v>
      </c>
      <c r="B58" s="33"/>
      <c r="C58" s="35" t="s">
        <v>55</v>
      </c>
      <c r="D58" s="35" t="s">
        <v>6</v>
      </c>
      <c r="E58" s="35" t="s">
        <v>7</v>
      </c>
      <c r="F58" s="35" t="s">
        <v>8</v>
      </c>
      <c r="G58" s="32" t="s">
        <v>9</v>
      </c>
      <c r="H58" s="33"/>
      <c r="I58" s="34" t="s">
        <v>46</v>
      </c>
      <c r="J58" s="34" t="s">
        <v>47</v>
      </c>
      <c r="K58" s="66" t="s">
        <v>48</v>
      </c>
      <c r="L58" s="67"/>
      <c r="M58" s="32" t="s">
        <v>49</v>
      </c>
      <c r="N58" s="33"/>
    </row>
    <row r="59" spans="1:14" ht="25.05" customHeight="true">
      <c r="A59" s="36"/>
      <c r="B59" s="37"/>
      <c r="C59" s="18" t="s">
        <v>214</v>
      </c>
      <c r="D59" s="18" t="s">
        <v>209</v>
      </c>
      <c r="E59" s="38"/>
      <c r="F59" s="38"/>
      <c r="G59" s="39" t="s">
        <v>187</v>
      </c>
      <c r="H59" s="40"/>
      <c r="I59" s="68" t="str">
        <f>SUM(K11,K22,K33,K44,K55)&amp;"件"</f>
        <v>618件</v>
      </c>
      <c r="J59" s="68" t="str">
        <f>SUM(O11,O22,O33,O44,O55)&amp;"件"</f>
        <v>241件</v>
      </c>
      <c r="K59" s="69" t="str">
        <f>SUM(P11,P22,P33,P44,P55)&amp;"件"</f>
        <v>386件</v>
      </c>
      <c r="L59" s="70"/>
      <c r="M59" s="71"/>
      <c r="N59" s="70"/>
    </row>
    <row r="60" spans="1:14" ht="25.05" customHeight="true">
      <c r="A60" s="41"/>
      <c r="B60" s="42"/>
      <c r="C60" s="22"/>
      <c r="D60" s="22"/>
      <c r="E60" s="43"/>
      <c r="F60" s="43"/>
      <c r="G60" s="44"/>
      <c r="H60" s="45"/>
      <c r="I60" s="16"/>
      <c r="J60" s="16"/>
      <c r="K60" s="72"/>
      <c r="L60" s="73"/>
      <c r="M60" s="74"/>
      <c r="N60" s="73"/>
    </row>
    <row r="61" spans="1:14">
      <c r="A61" s="41"/>
      <c r="B61" s="42"/>
      <c r="C61" s="22"/>
      <c r="D61" s="22"/>
      <c r="E61" s="43"/>
      <c r="F61" s="43"/>
      <c r="G61" s="44"/>
      <c r="H61" s="45"/>
      <c r="I61" s="16"/>
      <c r="J61" s="16"/>
      <c r="K61" s="72"/>
      <c r="L61" s="73"/>
      <c r="M61" s="74"/>
      <c r="N61" s="73"/>
    </row>
    <row r="62" spans="1:14">
      <c r="A62" s="41"/>
      <c r="B62" s="42"/>
      <c r="C62" s="22"/>
      <c r="D62" s="22"/>
      <c r="E62" s="43"/>
      <c r="F62" s="43"/>
      <c r="G62" s="44"/>
      <c r="H62" s="45"/>
      <c r="I62" s="16"/>
      <c r="J62" s="16"/>
      <c r="K62" s="72"/>
      <c r="L62" s="73"/>
      <c r="M62" s="74"/>
      <c r="N62" s="73"/>
    </row>
    <row r="63" spans="1:14">
      <c r="A63" s="41"/>
      <c r="B63" s="42"/>
      <c r="C63" s="22"/>
      <c r="D63" s="22"/>
      <c r="E63" s="43"/>
      <c r="F63" s="43"/>
      <c r="G63" s="44"/>
      <c r="H63" s="45"/>
      <c r="I63" s="16"/>
      <c r="J63" s="16"/>
      <c r="K63" s="72"/>
      <c r="L63" s="73"/>
      <c r="M63" s="74"/>
      <c r="N63" s="73"/>
    </row>
    <row r="64" spans="1:14" customHeight="true">
      <c r="A64" s="41"/>
      <c r="B64" s="42"/>
      <c r="C64" s="22"/>
      <c r="D64" s="22"/>
      <c r="E64" s="43"/>
      <c r="F64" s="43"/>
      <c r="G64" s="44"/>
      <c r="H64" s="45"/>
      <c r="I64" s="16"/>
      <c r="J64" s="16"/>
      <c r="K64" s="72"/>
      <c r="L64" s="73"/>
      <c r="M64" s="74"/>
      <c r="N64" s="73"/>
    </row>
    <row r="65" spans="1:14">
      <c r="A65" s="46"/>
      <c r="B65" s="47"/>
      <c r="C65" s="25"/>
      <c r="D65" s="25"/>
      <c r="E65" s="48"/>
      <c r="F65" s="48"/>
      <c r="G65" s="49"/>
      <c r="H65" s="50"/>
      <c r="I65" s="24"/>
      <c r="J65" s="24"/>
      <c r="K65" s="75"/>
      <c r="L65" s="76"/>
      <c r="M65" s="77"/>
      <c r="N65" s="76"/>
    </row>
  </sheetData>
  <mergeCells count="136">
    <mergeCell ref="A1:L1"/>
    <mergeCell ref="M1:O1"/>
    <mergeCell ref="P1:R1"/>
    <mergeCell ref="A12:P12"/>
    <mergeCell ref="A23:P23"/>
    <mergeCell ref="A34:P34"/>
    <mergeCell ref="A45:P45"/>
    <mergeCell ref="A58:B58"/>
    <mergeCell ref="G58:H58"/>
    <mergeCell ref="K58:L58"/>
    <mergeCell ref="M58:N58"/>
    <mergeCell ref="A2:A4"/>
    <mergeCell ref="A5:A11"/>
    <mergeCell ref="A13:A15"/>
    <mergeCell ref="A16:A21"/>
    <mergeCell ref="A24:A26"/>
    <mergeCell ref="A27:A33"/>
    <mergeCell ref="A35:A37"/>
    <mergeCell ref="A38:A44"/>
    <mergeCell ref="A46:A48"/>
    <mergeCell ref="A49:A55"/>
    <mergeCell ref="B2:B4"/>
    <mergeCell ref="B5:B11"/>
    <mergeCell ref="B13:B15"/>
    <mergeCell ref="B16:B22"/>
    <mergeCell ref="B24:B26"/>
    <mergeCell ref="B27:B33"/>
    <mergeCell ref="B35:B37"/>
    <mergeCell ref="B38:B44"/>
    <mergeCell ref="B46:B48"/>
    <mergeCell ref="B49:B55"/>
    <mergeCell ref="C2:C4"/>
    <mergeCell ref="C5:C11"/>
    <mergeCell ref="C13:C15"/>
    <mergeCell ref="C16:C22"/>
    <mergeCell ref="C24:C26"/>
    <mergeCell ref="C27:C33"/>
    <mergeCell ref="C35:C37"/>
    <mergeCell ref="C38:C44"/>
    <mergeCell ref="C46:C48"/>
    <mergeCell ref="C49:C55"/>
    <mergeCell ref="C59:C65"/>
    <mergeCell ref="D2:D4"/>
    <mergeCell ref="D5:D11"/>
    <mergeCell ref="D13:D15"/>
    <mergeCell ref="D16:D22"/>
    <mergeCell ref="D24:D26"/>
    <mergeCell ref="D27:D33"/>
    <mergeCell ref="D35:D37"/>
    <mergeCell ref="D38:D44"/>
    <mergeCell ref="D46:D48"/>
    <mergeCell ref="D49:D55"/>
    <mergeCell ref="D59:D65"/>
    <mergeCell ref="E2:E4"/>
    <mergeCell ref="E5:E11"/>
    <mergeCell ref="E13:E15"/>
    <mergeCell ref="E16:E22"/>
    <mergeCell ref="E24:E26"/>
    <mergeCell ref="E27:E33"/>
    <mergeCell ref="E35:E37"/>
    <mergeCell ref="E38:E44"/>
    <mergeCell ref="E46:E48"/>
    <mergeCell ref="E49:E55"/>
    <mergeCell ref="E59:E65"/>
    <mergeCell ref="F2:F4"/>
    <mergeCell ref="F5:F11"/>
    <mergeCell ref="F13:F15"/>
    <mergeCell ref="F16:F22"/>
    <mergeCell ref="F24:F26"/>
    <mergeCell ref="F27:F33"/>
    <mergeCell ref="F35:F37"/>
    <mergeCell ref="F38:F44"/>
    <mergeCell ref="F46:F48"/>
    <mergeCell ref="F49:F55"/>
    <mergeCell ref="F59:F65"/>
    <mergeCell ref="G5:G11"/>
    <mergeCell ref="G16:G22"/>
    <mergeCell ref="G27:G33"/>
    <mergeCell ref="G38:G44"/>
    <mergeCell ref="G49:G55"/>
    <mergeCell ref="H5:H11"/>
    <mergeCell ref="H16:H22"/>
    <mergeCell ref="H27:H33"/>
    <mergeCell ref="H38:H44"/>
    <mergeCell ref="H49:H55"/>
    <mergeCell ref="I2:I4"/>
    <mergeCell ref="I5:I10"/>
    <mergeCell ref="I13:I15"/>
    <mergeCell ref="I16:I21"/>
    <mergeCell ref="I24:I26"/>
    <mergeCell ref="I27:I32"/>
    <mergeCell ref="I35:I37"/>
    <mergeCell ref="I38:I43"/>
    <mergeCell ref="I46:I48"/>
    <mergeCell ref="I49:I54"/>
    <mergeCell ref="I59:I65"/>
    <mergeCell ref="J2:J4"/>
    <mergeCell ref="J13:J15"/>
    <mergeCell ref="J24:J26"/>
    <mergeCell ref="J35:J37"/>
    <mergeCell ref="J46:J48"/>
    <mergeCell ref="J59:J65"/>
    <mergeCell ref="M2:M4"/>
    <mergeCell ref="M13:M15"/>
    <mergeCell ref="M24:M26"/>
    <mergeCell ref="M35:M37"/>
    <mergeCell ref="M46:M48"/>
    <mergeCell ref="Q2:Q3"/>
    <mergeCell ref="Q13:Q14"/>
    <mergeCell ref="Q24:Q25"/>
    <mergeCell ref="Q35:Q36"/>
    <mergeCell ref="Q46:Q47"/>
    <mergeCell ref="R2:R3"/>
    <mergeCell ref="R13:R14"/>
    <mergeCell ref="R24:R25"/>
    <mergeCell ref="R35:R36"/>
    <mergeCell ref="R46:R47"/>
    <mergeCell ref="G2:H4"/>
    <mergeCell ref="K2:L3"/>
    <mergeCell ref="N2:P3"/>
    <mergeCell ref="G13:H15"/>
    <mergeCell ref="K13:L14"/>
    <mergeCell ref="N13:P14"/>
    <mergeCell ref="G24:H26"/>
    <mergeCell ref="K24:L25"/>
    <mergeCell ref="N24:P25"/>
    <mergeCell ref="G35:H37"/>
    <mergeCell ref="K35:L36"/>
    <mergeCell ref="N35:P36"/>
    <mergeCell ref="G46:H48"/>
    <mergeCell ref="K46:L47"/>
    <mergeCell ref="N46:P47"/>
    <mergeCell ref="A59:B65"/>
    <mergeCell ref="G59:H65"/>
    <mergeCell ref="K59:L65"/>
    <mergeCell ref="M59:N65"/>
  </mergeCells>
  <pageMargins left="0.75" right="0.75" top="1" bottom="1" header="0.5" footer="0.5"/>
  <pageSetup orientation="portrait" paperSize="9"/>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U33"/>
  <sheetViews>
    <sheetView workbookViewId="0">
      <selection activeCell="O11" sqref="O11"/>
    </sheetView>
  </sheetViews>
  <sheetFormatPr defaultColWidth="8.55555555555556" defaultRowHeight="14.4"/>
  <cols>
    <col customWidth="true" max="1" min="1" style="3" width="7"/>
    <col customWidth="true" max="2" min="2" style="3" width="8.77777777777778"/>
    <col customWidth="true" max="3" min="3" style="3" width="20.8518518518519"/>
    <col customWidth="true" max="4" min="4" style="3" width="9.88888888888889"/>
    <col customWidth="true" hidden="true" max="5" min="5" style="3" width="12.7777777777778"/>
    <col customWidth="true" hidden="true" max="6" min="6" style="3" width="12.6666666666667"/>
    <col customWidth="true" max="7" min="7" style="3" width="13.5740740740741"/>
    <col customWidth="true" max="8" min="8" style="3" width="11.5555555555556"/>
    <col customWidth="true" max="9" min="9" style="3" width="13.9444444444444"/>
    <col customWidth="true" max="10" min="10" style="4" width="13.2037037037037"/>
    <col customWidth="true" max="11" min="11" style="3" width="12.5833333333333"/>
    <col customWidth="true" max="12" min="12" style="3" width="15.3055555555556"/>
    <col customWidth="true" max="13" min="13" style="4" width="12.5925925925926"/>
    <col customWidth="true" max="14" min="14" style="3" width="10.8611111111111"/>
    <col customWidth="true" max="15" min="15" style="3" width="11.3518518518519"/>
    <col customWidth="true" max="18" min="16" style="3" width="13.0833333333333"/>
    <col max="16384" min="19" style="3" width="8.55555555555556"/>
  </cols>
  <sheetData>
    <row r="1" spans="1:20" s="1" customFormat="true" ht="58.8" customHeight="true">
      <c r="A1" s="5" t="s">
        <v>215</v>
      </c>
      <c r="B1" s="6"/>
      <c r="C1" s="6"/>
      <c r="D1" s="6"/>
      <c r="E1" s="6"/>
      <c r="F1" s="6"/>
      <c r="G1" s="6"/>
      <c r="H1" s="6"/>
      <c r="I1" s="6"/>
      <c r="J1" s="6"/>
      <c r="K1" s="6"/>
      <c r="L1" s="6"/>
      <c r="M1" s="6" t="s">
        <v>216</v>
      </c>
      <c r="N1" s="6"/>
      <c r="O1" s="6"/>
      <c r="P1" s="51" t="s">
        <v>2</v>
      </c>
      <c r="Q1" s="6"/>
      <c r="R1" s="6"/>
      <c r="T1" s="78"/>
    </row>
    <row r="2" spans="1:20" s="1" customFormat="true" ht="10.95" customHeight="true">
      <c r="A2" s="7" t="s">
        <v>3</v>
      </c>
      <c r="B2" s="7" t="s">
        <v>4</v>
      </c>
      <c r="C2" s="7" t="s">
        <v>5</v>
      </c>
      <c r="D2" s="7" t="s">
        <v>6</v>
      </c>
      <c r="E2" s="7" t="s">
        <v>7</v>
      </c>
      <c r="F2" s="7" t="s">
        <v>8</v>
      </c>
      <c r="G2" s="8" t="s">
        <v>9</v>
      </c>
      <c r="H2" s="9"/>
      <c r="I2" s="7" t="s">
        <v>10</v>
      </c>
      <c r="J2" s="7" t="s">
        <v>11</v>
      </c>
      <c r="K2" s="52" t="s">
        <v>12</v>
      </c>
      <c r="L2" s="9"/>
      <c r="M2" s="7" t="s">
        <v>11</v>
      </c>
      <c r="N2" s="52" t="s">
        <v>13</v>
      </c>
      <c r="O2" s="52"/>
      <c r="P2" s="9"/>
      <c r="Q2" s="9" t="s">
        <v>14</v>
      </c>
      <c r="R2" s="9" t="s">
        <v>15</v>
      </c>
      <c r="T2" s="78"/>
    </row>
    <row r="3" spans="1:20" s="1" customFormat="true" ht="16.05" customHeight="true">
      <c r="A3" s="10"/>
      <c r="B3" s="10"/>
      <c r="C3" s="10"/>
      <c r="D3" s="10"/>
      <c r="E3" s="10"/>
      <c r="F3" s="10"/>
      <c r="G3" s="11"/>
      <c r="H3" s="12"/>
      <c r="I3" s="10"/>
      <c r="J3" s="10"/>
      <c r="K3" s="53"/>
      <c r="L3" s="15"/>
      <c r="M3" s="10"/>
      <c r="N3" s="53"/>
      <c r="O3" s="53"/>
      <c r="P3" s="15"/>
      <c r="Q3" s="15"/>
      <c r="R3" s="15"/>
      <c r="T3" s="78"/>
    </row>
    <row r="4" spans="1:20" s="1" customFormat="true" ht="28.95" customHeight="true">
      <c r="A4" s="13"/>
      <c r="B4" s="13"/>
      <c r="C4" s="13"/>
      <c r="D4" s="13"/>
      <c r="E4" s="13"/>
      <c r="F4" s="13"/>
      <c r="G4" s="14"/>
      <c r="H4" s="15"/>
      <c r="I4" s="13"/>
      <c r="J4" s="13"/>
      <c r="K4" s="54" t="s">
        <v>16</v>
      </c>
      <c r="L4" s="55" t="s">
        <v>17</v>
      </c>
      <c r="M4" s="13"/>
      <c r="N4" s="55" t="s">
        <v>18</v>
      </c>
      <c r="O4" s="55" t="s">
        <v>19</v>
      </c>
      <c r="P4" s="55" t="s">
        <v>20</v>
      </c>
      <c r="Q4" s="55" t="s">
        <v>21</v>
      </c>
      <c r="R4" s="55" t="s">
        <v>22</v>
      </c>
      <c r="T4" s="78"/>
    </row>
    <row r="5" spans="1:21" s="2" customFormat="true" customHeight="true">
      <c r="A5" s="16">
        <v>1</v>
      </c>
      <c r="B5" s="17" t="str">
        <f>=DISPIMG("ID_FA15250DDB4B48269723438797230D7C",1)</f>
        <v>=DISPIMG("ID_FA15250DDB4B48269723438797230D7C",1)</v>
      </c>
      <c r="C5" s="18" t="s">
        <v>217</v>
      </c>
      <c r="D5" s="18" t="s">
        <v>218</v>
      </c>
      <c r="E5" s="19"/>
      <c r="F5" s="19"/>
      <c r="G5" s="20" t="s">
        <v>44</v>
      </c>
      <c r="H5" s="21" t="str">
        <f>=DISPIMG("ID_E75EEC8280EF41E8BBB958B6039DC769",1)</f>
        <v>=DISPIMG("ID_E75EEC8280EF41E8BBB958B6039DC769",1)</v>
      </c>
      <c r="I5" s="56">
        <v>28.15</v>
      </c>
      <c r="J5" s="57" t="s">
        <v>26</v>
      </c>
      <c r="K5" s="23">
        <v>0</v>
      </c>
      <c r="L5" s="58">
        <f>I5*K5</f>
        <v>0</v>
      </c>
      <c r="M5" s="57" t="s">
        <v>26</v>
      </c>
      <c r="N5" s="23">
        <v>0</v>
      </c>
      <c r="O5" s="23">
        <v>0</v>
      </c>
      <c r="P5" s="23">
        <v>0</v>
      </c>
      <c r="Q5" s="23"/>
      <c r="R5" s="23"/>
      <c r="T5" s="79"/>
      <c r="U5" s="1"/>
    </row>
    <row r="6" spans="1:20" s="2" customFormat="true">
      <c r="A6" s="16"/>
      <c r="B6" s="16"/>
      <c r="C6" s="22"/>
      <c r="D6" s="22"/>
      <c r="E6" s="23"/>
      <c r="F6" s="23"/>
      <c r="G6" s="20"/>
      <c r="H6" s="21"/>
      <c r="I6" s="59"/>
      <c r="J6" s="57" t="s">
        <v>27</v>
      </c>
      <c r="K6" s="23">
        <v>93</v>
      </c>
      <c r="L6" s="58">
        <f>I5*K6</f>
        <v>2617.95</v>
      </c>
      <c r="M6" s="57" t="s">
        <v>27</v>
      </c>
      <c r="N6" s="23">
        <v>0</v>
      </c>
      <c r="O6" s="23">
        <v>53</v>
      </c>
      <c r="P6" s="23">
        <f t="shared" ref="P6:P8" si="0">MAX(0,K6-O6)</f>
        <v>40</v>
      </c>
      <c r="Q6" s="23">
        <v>11</v>
      </c>
      <c r="R6" s="23"/>
      <c r="T6" s="79"/>
    </row>
    <row r="7" spans="1:20" s="2" customFormat="true">
      <c r="A7" s="16"/>
      <c r="B7" s="16"/>
      <c r="C7" s="22"/>
      <c r="D7" s="22"/>
      <c r="E7" s="23"/>
      <c r="F7" s="23"/>
      <c r="G7" s="20"/>
      <c r="H7" s="21"/>
      <c r="I7" s="59"/>
      <c r="J7" s="57" t="s">
        <v>28</v>
      </c>
      <c r="K7" s="23">
        <v>87</v>
      </c>
      <c r="L7" s="58">
        <f>I5*K7</f>
        <v>2449.05</v>
      </c>
      <c r="M7" s="57" t="s">
        <v>28</v>
      </c>
      <c r="N7" s="23">
        <v>0</v>
      </c>
      <c r="O7" s="23">
        <v>61</v>
      </c>
      <c r="P7" s="23">
        <f t="shared" si="0"/>
        <v>26</v>
      </c>
      <c r="Q7" s="23">
        <v>17</v>
      </c>
      <c r="R7" s="23"/>
      <c r="T7" s="79"/>
    </row>
    <row r="8" spans="1:20" s="2" customFormat="true">
      <c r="A8" s="16"/>
      <c r="B8" s="16"/>
      <c r="C8" s="22"/>
      <c r="D8" s="22"/>
      <c r="E8" s="23"/>
      <c r="F8" s="23"/>
      <c r="G8" s="20"/>
      <c r="H8" s="21"/>
      <c r="I8" s="59"/>
      <c r="J8" s="57" t="s">
        <v>29</v>
      </c>
      <c r="K8" s="23">
        <v>112</v>
      </c>
      <c r="L8" s="58">
        <f>I5*K8</f>
        <v>3152.8</v>
      </c>
      <c r="M8" s="57" t="s">
        <v>29</v>
      </c>
      <c r="N8" s="23">
        <v>0</v>
      </c>
      <c r="O8" s="23">
        <v>74</v>
      </c>
      <c r="P8" s="23">
        <f t="shared" si="0"/>
        <v>38</v>
      </c>
      <c r="Q8" s="23">
        <v>16</v>
      </c>
      <c r="R8" s="23"/>
      <c r="T8" s="79"/>
    </row>
    <row r="9" spans="1:20" s="2" customFormat="true">
      <c r="A9" s="16"/>
      <c r="B9" s="16"/>
      <c r="C9" s="22"/>
      <c r="D9" s="22"/>
      <c r="E9" s="23"/>
      <c r="F9" s="23"/>
      <c r="G9" s="20"/>
      <c r="H9" s="21"/>
      <c r="I9" s="59"/>
      <c r="J9" s="57" t="s">
        <v>30</v>
      </c>
      <c r="K9" s="23">
        <v>0</v>
      </c>
      <c r="L9" s="58">
        <f>I5*K9</f>
        <v>0</v>
      </c>
      <c r="M9" s="57" t="s">
        <v>30</v>
      </c>
      <c r="N9" s="23">
        <v>0</v>
      </c>
      <c r="O9" s="23">
        <v>0</v>
      </c>
      <c r="P9" s="23">
        <v>0</v>
      </c>
      <c r="Q9" s="23"/>
      <c r="R9" s="23"/>
      <c r="T9" s="79"/>
    </row>
    <row r="10" spans="1:20" s="2" customFormat="true">
      <c r="A10" s="16"/>
      <c r="B10" s="16"/>
      <c r="C10" s="22"/>
      <c r="D10" s="22"/>
      <c r="E10" s="23"/>
      <c r="F10" s="23"/>
      <c r="G10" s="20"/>
      <c r="H10" s="21"/>
      <c r="I10" s="60"/>
      <c r="J10" s="23" t="s">
        <v>31</v>
      </c>
      <c r="K10" s="23">
        <v>0</v>
      </c>
      <c r="L10" s="58">
        <f>I5*K10</f>
        <v>0</v>
      </c>
      <c r="M10" s="23" t="s">
        <v>31</v>
      </c>
      <c r="N10" s="23">
        <v>0</v>
      </c>
      <c r="O10" s="23">
        <v>0</v>
      </c>
      <c r="P10" s="23">
        <v>0</v>
      </c>
      <c r="Q10" s="23"/>
      <c r="R10" s="23"/>
      <c r="T10" s="79"/>
    </row>
    <row r="11" spans="1:20" s="2" customFormat="true">
      <c r="A11" s="24"/>
      <c r="B11" s="24"/>
      <c r="C11" s="25"/>
      <c r="D11" s="25"/>
      <c r="E11" s="23"/>
      <c r="F11" s="23"/>
      <c r="G11" s="26"/>
      <c r="H11" s="27"/>
      <c r="J11" s="61" t="s">
        <v>32</v>
      </c>
      <c r="K11" s="62">
        <f t="shared" ref="K11:N11" si="1">SUM(K5:K10)</f>
        <v>292</v>
      </c>
      <c r="L11" s="63">
        <f t="shared" si="1"/>
        <v>8219.8</v>
      </c>
      <c r="M11" s="61" t="s">
        <v>32</v>
      </c>
      <c r="N11" s="62">
        <f t="shared" si="1"/>
        <v>0</v>
      </c>
      <c r="O11" s="64" cm="1">
        <f t="array" ref="O11">SUMPRODUCT(--(O5:O10))</f>
        <v>188</v>
      </c>
      <c r="P11" s="62">
        <f t="shared" ref="P11:R11" si="2">SUM(P5:P10)</f>
        <v>104</v>
      </c>
      <c r="Q11" s="64">
        <f t="shared" si="2"/>
        <v>44</v>
      </c>
      <c r="R11" s="64">
        <f t="shared" si="2"/>
        <v>0</v>
      </c>
      <c r="T11" s="79"/>
    </row>
    <row r="12" spans="1:20" s="2" customFormat="true" ht="17.4" customHeight="true">
      <c r="A12" s="28"/>
      <c r="B12" s="29"/>
      <c r="C12" s="29"/>
      <c r="D12" s="29"/>
      <c r="E12" s="29"/>
      <c r="F12" s="29"/>
      <c r="G12" s="29"/>
      <c r="H12" s="29"/>
      <c r="I12" s="29"/>
      <c r="J12" s="29"/>
      <c r="K12" s="29"/>
      <c r="L12" s="29"/>
      <c r="M12" s="29"/>
      <c r="N12" s="29"/>
      <c r="O12" s="29"/>
      <c r="P12" s="29"/>
      <c r="Q12" s="29"/>
      <c r="R12" s="29"/>
      <c r="T12" s="79"/>
    </row>
    <row r="13" spans="1:21" s="1" customFormat="true" ht="10.95" customHeight="true">
      <c r="A13" s="7" t="s">
        <v>3</v>
      </c>
      <c r="B13" s="30" t="s">
        <v>4</v>
      </c>
      <c r="C13" s="30" t="s">
        <v>5</v>
      </c>
      <c r="D13" s="30" t="s">
        <v>6</v>
      </c>
      <c r="E13" s="30" t="s">
        <v>7</v>
      </c>
      <c r="F13" s="30" t="s">
        <v>8</v>
      </c>
      <c r="G13" s="30" t="s">
        <v>9</v>
      </c>
      <c r="H13" s="30"/>
      <c r="I13" s="7" t="s">
        <v>10</v>
      </c>
      <c r="J13" s="7" t="s">
        <v>11</v>
      </c>
      <c r="K13" s="8" t="s">
        <v>12</v>
      </c>
      <c r="L13" s="9"/>
      <c r="M13" s="7" t="s">
        <v>11</v>
      </c>
      <c r="N13" s="52" t="s">
        <v>13</v>
      </c>
      <c r="O13" s="52"/>
      <c r="P13" s="9"/>
      <c r="Q13" s="9" t="s">
        <v>14</v>
      </c>
      <c r="R13" s="9" t="s">
        <v>15</v>
      </c>
      <c r="T13" s="78"/>
      <c r="U13" s="2"/>
    </row>
    <row r="14" spans="1:20" s="1" customFormat="true" ht="16.05" customHeight="true">
      <c r="A14" s="10"/>
      <c r="B14" s="30"/>
      <c r="C14" s="30"/>
      <c r="D14" s="30"/>
      <c r="E14" s="30"/>
      <c r="F14" s="30"/>
      <c r="G14" s="30"/>
      <c r="H14" s="30"/>
      <c r="I14" s="10"/>
      <c r="J14" s="10"/>
      <c r="K14" s="14"/>
      <c r="L14" s="15"/>
      <c r="M14" s="10"/>
      <c r="N14" s="53"/>
      <c r="O14" s="53"/>
      <c r="P14" s="15"/>
      <c r="Q14" s="15"/>
      <c r="R14" s="15"/>
      <c r="T14" s="78"/>
    </row>
    <row r="15" spans="1:20" s="1" customFormat="true" ht="28.95" customHeight="true">
      <c r="A15" s="13"/>
      <c r="B15" s="30"/>
      <c r="C15" s="30"/>
      <c r="D15" s="30"/>
      <c r="E15" s="30"/>
      <c r="F15" s="30"/>
      <c r="G15" s="30"/>
      <c r="H15" s="30"/>
      <c r="I15" s="13"/>
      <c r="J15" s="13"/>
      <c r="K15" s="54" t="s">
        <v>16</v>
      </c>
      <c r="L15" s="55" t="s">
        <v>17</v>
      </c>
      <c r="M15" s="13"/>
      <c r="N15" s="55" t="s">
        <v>18</v>
      </c>
      <c r="O15" s="55" t="s">
        <v>19</v>
      </c>
      <c r="P15" s="55" t="s">
        <v>20</v>
      </c>
      <c r="Q15" s="55" t="s">
        <v>21</v>
      </c>
      <c r="R15" s="55" t="s">
        <v>22</v>
      </c>
      <c r="T15" s="78"/>
    </row>
    <row r="16" spans="1:20" s="2" customFormat="true" ht="13.95" customHeight="true">
      <c r="A16" s="16">
        <v>2</v>
      </c>
      <c r="B16" s="17" t="str">
        <f>=DISPIMG("ID_50C043D3084E4FECB053219BFA919DE8",1)</f>
        <v>=DISPIMG("ID_50C043D3084E4FECB053219BFA919DE8",1)</v>
      </c>
      <c r="C16" s="18" t="s">
        <v>219</v>
      </c>
      <c r="D16" s="18" t="s">
        <v>218</v>
      </c>
      <c r="E16" s="19"/>
      <c r="F16" s="19"/>
      <c r="G16" s="20" t="s">
        <v>34</v>
      </c>
      <c r="H16" s="21" t="str">
        <f>=DISPIMG("ID_EDE254AACCB14A54BE4E671146A61B86",1)</f>
        <v>=DISPIMG("ID_EDE254AACCB14A54BE4E671146A61B86",1)</v>
      </c>
      <c r="I16" s="56">
        <v>28.15</v>
      </c>
      <c r="J16" s="57" t="s">
        <v>26</v>
      </c>
      <c r="K16" s="23">
        <v>0</v>
      </c>
      <c r="L16" s="58">
        <f>I16*K16</f>
        <v>0</v>
      </c>
      <c r="M16" s="57" t="s">
        <v>26</v>
      </c>
      <c r="N16" s="23">
        <v>0</v>
      </c>
      <c r="O16" s="23">
        <f>K16-P16</f>
        <v>0</v>
      </c>
      <c r="P16" s="23">
        <v>0</v>
      </c>
      <c r="Q16" s="23"/>
      <c r="R16" s="23"/>
      <c r="T16" s="79"/>
    </row>
    <row r="17" spans="1:20" s="2" customFormat="true">
      <c r="A17" s="16"/>
      <c r="B17" s="16"/>
      <c r="C17" s="22"/>
      <c r="D17" s="22"/>
      <c r="E17" s="23"/>
      <c r="F17" s="23"/>
      <c r="G17" s="20"/>
      <c r="H17" s="21"/>
      <c r="I17" s="59"/>
      <c r="J17" s="57" t="s">
        <v>27</v>
      </c>
      <c r="K17" s="23">
        <v>104</v>
      </c>
      <c r="L17" s="58">
        <f>I16*K17</f>
        <v>2927.6</v>
      </c>
      <c r="M17" s="57" t="s">
        <v>27</v>
      </c>
      <c r="N17" s="23">
        <v>0</v>
      </c>
      <c r="O17" s="23">
        <v>68</v>
      </c>
      <c r="P17" s="23">
        <f t="shared" ref="P17:P19" si="3">MAX(0,K17-O17)</f>
        <v>36</v>
      </c>
      <c r="Q17" s="23">
        <v>13</v>
      </c>
      <c r="R17" s="23"/>
      <c r="T17" s="79"/>
    </row>
    <row r="18" spans="1:20" s="2" customFormat="true">
      <c r="A18" s="16"/>
      <c r="B18" s="16"/>
      <c r="C18" s="22"/>
      <c r="D18" s="22"/>
      <c r="E18" s="23"/>
      <c r="F18" s="23"/>
      <c r="G18" s="20"/>
      <c r="H18" s="21"/>
      <c r="I18" s="59"/>
      <c r="J18" s="57" t="s">
        <v>28</v>
      </c>
      <c r="K18" s="23">
        <v>173</v>
      </c>
      <c r="L18" s="58">
        <f>I16*K18</f>
        <v>4869.95</v>
      </c>
      <c r="M18" s="57" t="s">
        <v>28</v>
      </c>
      <c r="N18" s="23">
        <v>0</v>
      </c>
      <c r="O18" s="23">
        <v>75</v>
      </c>
      <c r="P18" s="23">
        <f t="shared" si="3"/>
        <v>98</v>
      </c>
      <c r="Q18" s="23">
        <v>21</v>
      </c>
      <c r="R18" s="23"/>
      <c r="T18" s="79"/>
    </row>
    <row r="19" spans="1:20" s="2" customFormat="true">
      <c r="A19" s="16"/>
      <c r="B19" s="16"/>
      <c r="C19" s="22"/>
      <c r="D19" s="22"/>
      <c r="E19" s="23"/>
      <c r="F19" s="23"/>
      <c r="G19" s="20"/>
      <c r="H19" s="21"/>
      <c r="I19" s="59"/>
      <c r="J19" s="57" t="s">
        <v>29</v>
      </c>
      <c r="K19" s="23">
        <v>109</v>
      </c>
      <c r="L19" s="58">
        <f>I16*K19</f>
        <v>3068.35</v>
      </c>
      <c r="M19" s="57" t="s">
        <v>29</v>
      </c>
      <c r="N19" s="23">
        <v>0</v>
      </c>
      <c r="O19" s="23">
        <v>94</v>
      </c>
      <c r="P19" s="23">
        <f t="shared" si="3"/>
        <v>15</v>
      </c>
      <c r="Q19" s="23">
        <v>23</v>
      </c>
      <c r="R19" s="23"/>
      <c r="T19" s="79"/>
    </row>
    <row r="20" spans="1:20" s="2" customFormat="true">
      <c r="A20" s="16"/>
      <c r="B20" s="16"/>
      <c r="C20" s="22"/>
      <c r="D20" s="22"/>
      <c r="E20" s="23"/>
      <c r="F20" s="23"/>
      <c r="G20" s="20"/>
      <c r="H20" s="21"/>
      <c r="I20" s="59"/>
      <c r="J20" s="57" t="s">
        <v>30</v>
      </c>
      <c r="K20" s="23">
        <v>0</v>
      </c>
      <c r="L20" s="58">
        <f>I16*K20</f>
        <v>0</v>
      </c>
      <c r="M20" s="57" t="s">
        <v>30</v>
      </c>
      <c r="N20" s="23">
        <v>0</v>
      </c>
      <c r="O20" s="23">
        <v>0</v>
      </c>
      <c r="P20" s="23">
        <v>0</v>
      </c>
      <c r="Q20" s="23"/>
      <c r="R20" s="23"/>
      <c r="T20" s="79"/>
    </row>
    <row r="21" spans="1:20" s="2" customFormat="true">
      <c r="A21" s="16"/>
      <c r="B21" s="16"/>
      <c r="C21" s="22"/>
      <c r="D21" s="22"/>
      <c r="E21" s="23"/>
      <c r="F21" s="23"/>
      <c r="G21" s="20"/>
      <c r="H21" s="21"/>
      <c r="I21" s="60"/>
      <c r="J21" s="23" t="s">
        <v>31</v>
      </c>
      <c r="K21" s="23">
        <v>0</v>
      </c>
      <c r="L21" s="58">
        <f>I16*K21</f>
        <v>0</v>
      </c>
      <c r="M21" s="23" t="s">
        <v>31</v>
      </c>
      <c r="N21" s="23">
        <v>0</v>
      </c>
      <c r="O21" s="23">
        <v>0</v>
      </c>
      <c r="P21" s="23">
        <v>0</v>
      </c>
      <c r="Q21" s="23"/>
      <c r="R21" s="23"/>
      <c r="T21" s="79"/>
    </row>
    <row r="22" spans="1:20" s="2" customFormat="true">
      <c r="A22" s="24"/>
      <c r="B22" s="24"/>
      <c r="C22" s="25"/>
      <c r="D22" s="25"/>
      <c r="E22" s="23"/>
      <c r="F22" s="23"/>
      <c r="G22" s="26"/>
      <c r="H22" s="27"/>
      <c r="I22" s="62"/>
      <c r="J22" s="61" t="s">
        <v>32</v>
      </c>
      <c r="K22" s="64">
        <f t="shared" ref="K22:N22" si="4">SUM(K16:K21)</f>
        <v>386</v>
      </c>
      <c r="L22" s="80">
        <f t="shared" si="4"/>
        <v>10865.9</v>
      </c>
      <c r="M22" s="61" t="s">
        <v>32</v>
      </c>
      <c r="N22" s="62">
        <f t="shared" si="4"/>
        <v>0</v>
      </c>
      <c r="O22" s="64" cm="1">
        <f t="array" ref="O22">SUMPRODUCT(--(O16:O21))</f>
        <v>237</v>
      </c>
      <c r="P22" s="64" cm="1">
        <f t="array" ref="P22">SUMPRODUCT(--(P16:P21))</f>
        <v>149</v>
      </c>
      <c r="Q22" s="64">
        <f>SUM(Q16:Q21)</f>
        <v>57</v>
      </c>
      <c r="R22" s="64">
        <f>SUM(R16:R21)</f>
        <v>0</v>
      </c>
      <c r="T22" s="79"/>
    </row>
    <row r="23" spans="1:18" s="3" customFormat="true">
      <c r="A23" s="4"/>
      <c r="B23" s="4"/>
      <c r="C23" s="31"/>
      <c r="D23" s="31"/>
      <c r="E23" s="31"/>
      <c r="F23" s="31"/>
      <c r="G23" s="31"/>
      <c r="H23" s="31"/>
      <c r="I23" s="65"/>
      <c r="J23" s="31"/>
      <c r="K23" s="65"/>
      <c r="L23" s="65"/>
      <c r="M23" s="31"/>
      <c r="N23" s="65"/>
      <c r="O23" s="65"/>
      <c r="P23" s="65"/>
      <c r="Q23" s="65"/>
      <c r="R23" s="65"/>
    </row>
    <row r="24" spans="1:18" s="3" customFormat="true">
      <c r="A24" s="4"/>
      <c r="B24" s="4"/>
      <c r="C24" s="31"/>
      <c r="D24" s="31"/>
      <c r="E24" s="31"/>
      <c r="F24" s="31"/>
      <c r="G24" s="31"/>
      <c r="H24" s="31"/>
      <c r="I24" s="65"/>
      <c r="J24" s="31"/>
      <c r="K24" s="65"/>
      <c r="L24" s="65"/>
      <c r="M24" s="31"/>
      <c r="N24" s="65"/>
      <c r="O24" s="65"/>
      <c r="P24" s="65"/>
      <c r="Q24" s="65"/>
      <c r="R24" s="65"/>
    </row>
    <row r="25"/>
    <row r="26" spans="1:14" ht="46" customHeight="true">
      <c r="A26" s="32" t="s">
        <v>45</v>
      </c>
      <c r="B26" s="33"/>
      <c r="C26" s="34" t="s">
        <v>5</v>
      </c>
      <c r="D26" s="35" t="s">
        <v>6</v>
      </c>
      <c r="E26" s="35" t="s">
        <v>7</v>
      </c>
      <c r="F26" s="35" t="s">
        <v>8</v>
      </c>
      <c r="G26" s="32" t="s">
        <v>9</v>
      </c>
      <c r="H26" s="33"/>
      <c r="I26" s="34" t="s">
        <v>46</v>
      </c>
      <c r="J26" s="34" t="s">
        <v>47</v>
      </c>
      <c r="K26" s="66" t="s">
        <v>48</v>
      </c>
      <c r="L26" s="67"/>
      <c r="M26" s="32" t="s">
        <v>49</v>
      </c>
      <c r="N26" s="33"/>
    </row>
    <row r="27" spans="1:14" ht="25.05" customHeight="true">
      <c r="A27" s="36"/>
      <c r="B27" s="37"/>
      <c r="C27" s="18" t="s">
        <v>220</v>
      </c>
      <c r="D27" s="18" t="s">
        <v>218</v>
      </c>
      <c r="E27" s="38"/>
      <c r="F27" s="38"/>
      <c r="G27" s="39" t="s">
        <v>221</v>
      </c>
      <c r="H27" s="40"/>
      <c r="I27" s="68" t="str">
        <f>SUM(K11,K22)&amp;"件"</f>
        <v>678件</v>
      </c>
      <c r="J27" s="68" t="str">
        <f>SUM(O11+O22)&amp;"件"</f>
        <v>425件</v>
      </c>
      <c r="K27" s="69" t="str">
        <f>SUM(P11+P22)&amp;"件"</f>
        <v>253件</v>
      </c>
      <c r="L27" s="70"/>
      <c r="M27" s="71"/>
      <c r="N27" s="70"/>
    </row>
    <row r="28" spans="1:14" ht="25.05" customHeight="true">
      <c r="A28" s="41"/>
      <c r="B28" s="42"/>
      <c r="C28" s="22"/>
      <c r="D28" s="22"/>
      <c r="E28" s="43"/>
      <c r="F28" s="43"/>
      <c r="G28" s="44"/>
      <c r="H28" s="45"/>
      <c r="I28" s="16"/>
      <c r="J28" s="16"/>
      <c r="K28" s="72"/>
      <c r="L28" s="73"/>
      <c r="M28" s="74"/>
      <c r="N28" s="73"/>
    </row>
    <row r="29" spans="1:14">
      <c r="A29" s="41"/>
      <c r="B29" s="42"/>
      <c r="C29" s="22"/>
      <c r="D29" s="22"/>
      <c r="E29" s="43"/>
      <c r="F29" s="43"/>
      <c r="G29" s="44"/>
      <c r="H29" s="45"/>
      <c r="I29" s="16"/>
      <c r="J29" s="16"/>
      <c r="K29" s="72"/>
      <c r="L29" s="73"/>
      <c r="M29" s="74"/>
      <c r="N29" s="73"/>
    </row>
    <row r="30" spans="1:14">
      <c r="A30" s="41"/>
      <c r="B30" s="42"/>
      <c r="C30" s="22"/>
      <c r="D30" s="22"/>
      <c r="E30" s="43"/>
      <c r="F30" s="43"/>
      <c r="G30" s="44"/>
      <c r="H30" s="45"/>
      <c r="I30" s="16"/>
      <c r="J30" s="16"/>
      <c r="K30" s="72"/>
      <c r="L30" s="73"/>
      <c r="M30" s="74"/>
      <c r="N30" s="73"/>
    </row>
    <row r="31" spans="1:14">
      <c r="A31" s="41"/>
      <c r="B31" s="42"/>
      <c r="C31" s="22"/>
      <c r="D31" s="22"/>
      <c r="E31" s="43"/>
      <c r="F31" s="43"/>
      <c r="G31" s="44"/>
      <c r="H31" s="45"/>
      <c r="I31" s="16"/>
      <c r="J31" s="16"/>
      <c r="K31" s="72"/>
      <c r="L31" s="73"/>
      <c r="M31" s="74"/>
      <c r="N31" s="73"/>
    </row>
    <row r="32" spans="1:14" customHeight="true">
      <c r="A32" s="41"/>
      <c r="B32" s="42"/>
      <c r="C32" s="22"/>
      <c r="D32" s="22"/>
      <c r="E32" s="43"/>
      <c r="F32" s="43"/>
      <c r="G32" s="44"/>
      <c r="H32" s="45"/>
      <c r="I32" s="16"/>
      <c r="J32" s="16"/>
      <c r="K32" s="72"/>
      <c r="L32" s="73"/>
      <c r="M32" s="74"/>
      <c r="N32" s="73"/>
    </row>
    <row r="33" spans="1:14">
      <c r="A33" s="46"/>
      <c r="B33" s="47"/>
      <c r="C33" s="25"/>
      <c r="D33" s="25"/>
      <c r="E33" s="48"/>
      <c r="F33" s="48"/>
      <c r="G33" s="49"/>
      <c r="H33" s="50"/>
      <c r="I33" s="24"/>
      <c r="J33" s="24"/>
      <c r="K33" s="75"/>
      <c r="L33" s="76"/>
      <c r="M33" s="77"/>
      <c r="N33" s="76"/>
    </row>
  </sheetData>
  <mergeCells count="64">
    <mergeCell ref="A1:L1"/>
    <mergeCell ref="M1:O1"/>
    <mergeCell ref="P1:R1"/>
    <mergeCell ref="A12:P12"/>
    <mergeCell ref="A26:B26"/>
    <mergeCell ref="G26:H26"/>
    <mergeCell ref="K26:L26"/>
    <mergeCell ref="M26:N26"/>
    <mergeCell ref="A2:A4"/>
    <mergeCell ref="A5:A11"/>
    <mergeCell ref="A13:A15"/>
    <mergeCell ref="A16:A22"/>
    <mergeCell ref="B2:B4"/>
    <mergeCell ref="B5:B11"/>
    <mergeCell ref="B13:B15"/>
    <mergeCell ref="B16:B22"/>
    <mergeCell ref="C2:C4"/>
    <mergeCell ref="C5:C11"/>
    <mergeCell ref="C13:C15"/>
    <mergeCell ref="C16:C22"/>
    <mergeCell ref="C27:C33"/>
    <mergeCell ref="D2:D4"/>
    <mergeCell ref="D5:D11"/>
    <mergeCell ref="D13:D15"/>
    <mergeCell ref="D16:D22"/>
    <mergeCell ref="D27:D33"/>
    <mergeCell ref="E2:E4"/>
    <mergeCell ref="E5:E11"/>
    <mergeCell ref="E13:E15"/>
    <mergeCell ref="E16:E22"/>
    <mergeCell ref="E27:E33"/>
    <mergeCell ref="F2:F4"/>
    <mergeCell ref="F5:F11"/>
    <mergeCell ref="F13:F15"/>
    <mergeCell ref="F16:F22"/>
    <mergeCell ref="F27:F33"/>
    <mergeCell ref="G5:G11"/>
    <mergeCell ref="G16:G22"/>
    <mergeCell ref="H5:H11"/>
    <mergeCell ref="H16:H22"/>
    <mergeCell ref="I2:I4"/>
    <mergeCell ref="I5:I10"/>
    <mergeCell ref="I13:I15"/>
    <mergeCell ref="I16:I21"/>
    <mergeCell ref="I27:I33"/>
    <mergeCell ref="J2:J4"/>
    <mergeCell ref="J13:J15"/>
    <mergeCell ref="J27:J33"/>
    <mergeCell ref="M2:M4"/>
    <mergeCell ref="M13:M15"/>
    <mergeCell ref="Q2:Q3"/>
    <mergeCell ref="Q13:Q14"/>
    <mergeCell ref="R2:R3"/>
    <mergeCell ref="R13:R14"/>
    <mergeCell ref="G2:H4"/>
    <mergeCell ref="K2:L3"/>
    <mergeCell ref="N2:P3"/>
    <mergeCell ref="G13:H15"/>
    <mergeCell ref="K13:L14"/>
    <mergeCell ref="N13:P14"/>
    <mergeCell ref="A27:B33"/>
    <mergeCell ref="G27:H33"/>
    <mergeCell ref="K27:L33"/>
    <mergeCell ref="M27:N33"/>
  </mergeCells>
  <pageMargins left="0.75" right="0.75" top="1" bottom="1" header="0.5" footer="0.5"/>
  <pageSetup orientation="portrait" paperSize="9"/>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U33"/>
  <sheetViews>
    <sheetView workbookViewId="0">
      <selection activeCell="O22" sqref="O22"/>
    </sheetView>
  </sheetViews>
  <sheetFormatPr defaultColWidth="8.55555555555556" defaultRowHeight="14.4"/>
  <cols>
    <col customWidth="true" max="1" min="1" style="3" width="7"/>
    <col customWidth="true" max="2" min="2" style="3" width="8.77777777777778"/>
    <col customWidth="true" max="3" min="3" style="3" width="20.8518518518519"/>
    <col customWidth="true" max="4" min="4" style="3" width="9.88888888888889"/>
    <col customWidth="true" hidden="true" max="5" min="5" style="3" width="12.7777777777778"/>
    <col customWidth="true" hidden="true" max="6" min="6" style="3" width="12.6666666666667"/>
    <col customWidth="true" max="7" min="7" style="3" width="13.5740740740741"/>
    <col customWidth="true" max="8" min="8" style="3" width="11.5555555555556"/>
    <col customWidth="true" max="9" min="9" style="3" width="13.9444444444444"/>
    <col customWidth="true" max="10" min="10" style="4" width="13.2037037037037"/>
    <col customWidth="true" max="11" min="11" style="3" width="12.5833333333333"/>
    <col customWidth="true" max="12" min="12" style="3" width="15.3055555555556"/>
    <col customWidth="true" max="13" min="13" style="4" width="12.5925925925926"/>
    <col customWidth="true" max="14" min="14" style="3" width="10.8611111111111"/>
    <col customWidth="true" max="15" min="15" style="3" width="11.3518518518519"/>
    <col customWidth="true" max="18" min="16" style="3" width="13.0833333333333"/>
    <col max="16384" min="19" style="3" width="8.55555555555556"/>
  </cols>
  <sheetData>
    <row r="1" spans="1:20" s="1" customFormat="true" ht="58.8" customHeight="true">
      <c r="A1" s="5" t="s">
        <v>222</v>
      </c>
      <c r="B1" s="6"/>
      <c r="C1" s="6"/>
      <c r="D1" s="6"/>
      <c r="E1" s="6"/>
      <c r="F1" s="6"/>
      <c r="G1" s="6"/>
      <c r="H1" s="6"/>
      <c r="I1" s="6"/>
      <c r="J1" s="6"/>
      <c r="K1" s="6"/>
      <c r="L1" s="6"/>
      <c r="M1" s="6" t="s">
        <v>223</v>
      </c>
      <c r="N1" s="6"/>
      <c r="O1" s="6"/>
      <c r="P1" s="51" t="s">
        <v>2</v>
      </c>
      <c r="Q1" s="6"/>
      <c r="R1" s="6"/>
      <c r="T1" s="78"/>
    </row>
    <row r="2" spans="1:20" s="1" customFormat="true" ht="10.95" customHeight="true">
      <c r="A2" s="7" t="s">
        <v>3</v>
      </c>
      <c r="B2" s="7" t="s">
        <v>4</v>
      </c>
      <c r="C2" s="7" t="s">
        <v>5</v>
      </c>
      <c r="D2" s="7" t="s">
        <v>6</v>
      </c>
      <c r="E2" s="7" t="s">
        <v>7</v>
      </c>
      <c r="F2" s="7" t="s">
        <v>8</v>
      </c>
      <c r="G2" s="8" t="s">
        <v>9</v>
      </c>
      <c r="H2" s="9"/>
      <c r="I2" s="7" t="s">
        <v>10</v>
      </c>
      <c r="J2" s="7" t="s">
        <v>11</v>
      </c>
      <c r="K2" s="52" t="s">
        <v>12</v>
      </c>
      <c r="L2" s="9"/>
      <c r="M2" s="7" t="s">
        <v>11</v>
      </c>
      <c r="N2" s="52" t="s">
        <v>13</v>
      </c>
      <c r="O2" s="52"/>
      <c r="P2" s="9"/>
      <c r="Q2" s="9" t="s">
        <v>14</v>
      </c>
      <c r="R2" s="9" t="s">
        <v>15</v>
      </c>
      <c r="T2" s="78"/>
    </row>
    <row r="3" spans="1:20" s="1" customFormat="true" ht="16.05" customHeight="true">
      <c r="A3" s="10"/>
      <c r="B3" s="10"/>
      <c r="C3" s="10"/>
      <c r="D3" s="10"/>
      <c r="E3" s="10"/>
      <c r="F3" s="10"/>
      <c r="G3" s="11"/>
      <c r="H3" s="12"/>
      <c r="I3" s="10"/>
      <c r="J3" s="10"/>
      <c r="K3" s="53"/>
      <c r="L3" s="15"/>
      <c r="M3" s="10"/>
      <c r="N3" s="53"/>
      <c r="O3" s="53"/>
      <c r="P3" s="15"/>
      <c r="Q3" s="15"/>
      <c r="R3" s="15"/>
      <c r="T3" s="78"/>
    </row>
    <row r="4" spans="1:20" s="1" customFormat="true" ht="28.95" customHeight="true">
      <c r="A4" s="13"/>
      <c r="B4" s="13"/>
      <c r="C4" s="13"/>
      <c r="D4" s="13"/>
      <c r="E4" s="13"/>
      <c r="F4" s="13"/>
      <c r="G4" s="14"/>
      <c r="H4" s="15"/>
      <c r="I4" s="13"/>
      <c r="J4" s="13"/>
      <c r="K4" s="54" t="s">
        <v>16</v>
      </c>
      <c r="L4" s="55" t="s">
        <v>17</v>
      </c>
      <c r="M4" s="13"/>
      <c r="N4" s="55" t="s">
        <v>18</v>
      </c>
      <c r="O4" s="55" t="s">
        <v>19</v>
      </c>
      <c r="P4" s="55" t="s">
        <v>20</v>
      </c>
      <c r="Q4" s="55" t="s">
        <v>21</v>
      </c>
      <c r="R4" s="55" t="s">
        <v>22</v>
      </c>
      <c r="T4" s="78"/>
    </row>
    <row r="5" spans="1:20" s="2" customFormat="true" customHeight="true">
      <c r="A5" s="16">
        <v>1</v>
      </c>
      <c r="B5" s="17" t="str">
        <f>=DISPIMG("ID_8D3A0F2B9EC44DBE8DDD69A2E4B7DEC6",1)</f>
        <v>=DISPIMG("ID_8D3A0F2B9EC44DBE8DDD69A2E4B7DEC6",1)</v>
      </c>
      <c r="C5" s="18" t="s">
        <v>224</v>
      </c>
      <c r="D5" s="18" t="s">
        <v>225</v>
      </c>
      <c r="E5" s="19"/>
      <c r="F5" s="19"/>
      <c r="G5" s="20" t="s">
        <v>42</v>
      </c>
      <c r="H5" s="21" t="str">
        <f>=DISPIMG("ID_4D41510DD4584CFB9C98C49301C21D96",1)</f>
        <v>=DISPIMG("ID_4D41510DD4584CFB9C98C49301C21D96",1)</v>
      </c>
      <c r="I5" s="56">
        <v>39.22</v>
      </c>
      <c r="J5" s="57" t="s">
        <v>26</v>
      </c>
      <c r="K5" s="23">
        <v>0</v>
      </c>
      <c r="L5" s="58">
        <f>I5*K5</f>
        <v>0</v>
      </c>
      <c r="M5" s="57" t="s">
        <v>26</v>
      </c>
      <c r="N5" s="23">
        <v>0</v>
      </c>
      <c r="O5" s="23">
        <v>0</v>
      </c>
      <c r="P5" s="23">
        <v>0</v>
      </c>
      <c r="Q5" s="23"/>
      <c r="R5" s="23"/>
      <c r="T5" s="79"/>
    </row>
    <row r="6" spans="1:20" s="2" customFormat="true">
      <c r="A6" s="16"/>
      <c r="B6" s="16"/>
      <c r="C6" s="22"/>
      <c r="D6" s="22"/>
      <c r="E6" s="23"/>
      <c r="F6" s="23"/>
      <c r="G6" s="20"/>
      <c r="H6" s="21"/>
      <c r="I6" s="59"/>
      <c r="J6" s="57" t="s">
        <v>27</v>
      </c>
      <c r="K6" s="23">
        <v>83</v>
      </c>
      <c r="L6" s="58">
        <f>I5*K6</f>
        <v>3255.26</v>
      </c>
      <c r="M6" s="57" t="s">
        <v>27</v>
      </c>
      <c r="N6" s="23">
        <v>0</v>
      </c>
      <c r="O6" s="23">
        <v>86</v>
      </c>
      <c r="P6" s="23">
        <f t="shared" ref="P6:P8" si="0">MAX(0,K6-O6)</f>
        <v>0</v>
      </c>
      <c r="Q6" s="23">
        <v>15</v>
      </c>
      <c r="R6" s="23"/>
      <c r="T6" s="79"/>
    </row>
    <row r="7" spans="1:20" s="2" customFormat="true">
      <c r="A7" s="16"/>
      <c r="B7" s="16"/>
      <c r="C7" s="22"/>
      <c r="D7" s="22"/>
      <c r="E7" s="23"/>
      <c r="F7" s="23"/>
      <c r="G7" s="20"/>
      <c r="H7" s="21"/>
      <c r="I7" s="59"/>
      <c r="J7" s="57" t="s">
        <v>28</v>
      </c>
      <c r="K7" s="23">
        <v>83</v>
      </c>
      <c r="L7" s="58">
        <f>I5*K7</f>
        <v>3255.26</v>
      </c>
      <c r="M7" s="57" t="s">
        <v>28</v>
      </c>
      <c r="N7" s="23">
        <v>1</v>
      </c>
      <c r="O7" s="23">
        <v>91</v>
      </c>
      <c r="P7" s="23">
        <f t="shared" si="0"/>
        <v>0</v>
      </c>
      <c r="Q7" s="23">
        <v>19</v>
      </c>
      <c r="R7" s="23"/>
      <c r="T7" s="79"/>
    </row>
    <row r="8" spans="1:20" s="2" customFormat="true">
      <c r="A8" s="16"/>
      <c r="B8" s="16"/>
      <c r="C8" s="22"/>
      <c r="D8" s="22"/>
      <c r="E8" s="23"/>
      <c r="F8" s="23"/>
      <c r="G8" s="20"/>
      <c r="H8" s="21"/>
      <c r="I8" s="59"/>
      <c r="J8" s="57" t="s">
        <v>29</v>
      </c>
      <c r="K8" s="23">
        <v>89</v>
      </c>
      <c r="L8" s="58">
        <f>I5*K8</f>
        <v>3490.58</v>
      </c>
      <c r="M8" s="57" t="s">
        <v>29</v>
      </c>
      <c r="N8" s="23">
        <v>0</v>
      </c>
      <c r="O8" s="23">
        <v>93</v>
      </c>
      <c r="P8" s="23">
        <f t="shared" si="0"/>
        <v>0</v>
      </c>
      <c r="Q8" s="23">
        <v>14</v>
      </c>
      <c r="R8" s="23"/>
      <c r="T8" s="79"/>
    </row>
    <row r="9" spans="1:20" s="2" customFormat="true">
      <c r="A9" s="16"/>
      <c r="B9" s="16"/>
      <c r="C9" s="22"/>
      <c r="D9" s="22"/>
      <c r="E9" s="23"/>
      <c r="F9" s="23"/>
      <c r="G9" s="20"/>
      <c r="H9" s="21"/>
      <c r="I9" s="59"/>
      <c r="J9" s="57" t="s">
        <v>30</v>
      </c>
      <c r="K9" s="23">
        <v>0</v>
      </c>
      <c r="L9" s="58">
        <f>I5*K9</f>
        <v>0</v>
      </c>
      <c r="M9" s="57" t="s">
        <v>30</v>
      </c>
      <c r="N9" s="23">
        <v>0</v>
      </c>
      <c r="O9" s="23">
        <v>0</v>
      </c>
      <c r="P9" s="23">
        <v>0</v>
      </c>
      <c r="Q9" s="23"/>
      <c r="R9" s="23"/>
      <c r="T9" s="79"/>
    </row>
    <row r="10" spans="1:20" s="2" customFormat="true">
      <c r="A10" s="16"/>
      <c r="B10" s="16"/>
      <c r="C10" s="22"/>
      <c r="D10" s="22"/>
      <c r="E10" s="23"/>
      <c r="F10" s="23"/>
      <c r="G10" s="20"/>
      <c r="H10" s="21"/>
      <c r="I10" s="60"/>
      <c r="J10" s="23" t="s">
        <v>31</v>
      </c>
      <c r="K10" s="23">
        <v>0</v>
      </c>
      <c r="L10" s="58">
        <f>I5*K10</f>
        <v>0</v>
      </c>
      <c r="M10" s="23" t="s">
        <v>31</v>
      </c>
      <c r="N10" s="23">
        <v>0</v>
      </c>
      <c r="O10" s="23">
        <v>0</v>
      </c>
      <c r="P10" s="23">
        <v>0</v>
      </c>
      <c r="Q10" s="23"/>
      <c r="R10" s="23"/>
      <c r="T10" s="79"/>
    </row>
    <row r="11" spans="1:20" s="2" customFormat="true">
      <c r="A11" s="24"/>
      <c r="B11" s="24"/>
      <c r="C11" s="25"/>
      <c r="D11" s="25"/>
      <c r="E11" s="23"/>
      <c r="F11" s="23"/>
      <c r="G11" s="26"/>
      <c r="H11" s="27"/>
      <c r="J11" s="61" t="s">
        <v>32</v>
      </c>
      <c r="K11" s="62">
        <f t="shared" ref="K11:N11" si="1">SUM(K5:K10)</f>
        <v>255</v>
      </c>
      <c r="L11" s="63">
        <f t="shared" si="1"/>
        <v>10001.1</v>
      </c>
      <c r="M11" s="61" t="s">
        <v>32</v>
      </c>
      <c r="N11" s="62">
        <f t="shared" si="1"/>
        <v>1</v>
      </c>
      <c r="O11" s="64" cm="1">
        <f t="array" ref="O11">SUMPRODUCT(--(O5:O10))</f>
        <v>270</v>
      </c>
      <c r="P11" s="62">
        <f t="shared" ref="P11:R11" si="2">SUM(P5:P10)</f>
        <v>0</v>
      </c>
      <c r="Q11" s="64">
        <f t="shared" si="2"/>
        <v>48</v>
      </c>
      <c r="R11" s="64">
        <f t="shared" si="2"/>
        <v>0</v>
      </c>
      <c r="T11" s="79"/>
    </row>
    <row r="12" spans="1:20" s="2" customFormat="true" ht="17.4" customHeight="true">
      <c r="A12" s="28"/>
      <c r="B12" s="29"/>
      <c r="C12" s="29"/>
      <c r="D12" s="29"/>
      <c r="E12" s="29"/>
      <c r="F12" s="29"/>
      <c r="G12" s="29"/>
      <c r="H12" s="29"/>
      <c r="I12" s="29"/>
      <c r="J12" s="29"/>
      <c r="K12" s="29"/>
      <c r="L12" s="29"/>
      <c r="M12" s="29"/>
      <c r="N12" s="29"/>
      <c r="O12" s="29"/>
      <c r="P12" s="29"/>
      <c r="Q12" s="29"/>
      <c r="R12" s="29"/>
      <c r="T12" s="79"/>
    </row>
    <row r="13" spans="1:21" s="1" customFormat="true" ht="10.95" customHeight="true">
      <c r="A13" s="7" t="s">
        <v>3</v>
      </c>
      <c r="B13" s="30" t="s">
        <v>4</v>
      </c>
      <c r="C13" s="30" t="s">
        <v>5</v>
      </c>
      <c r="D13" s="30" t="s">
        <v>6</v>
      </c>
      <c r="E13" s="30" t="s">
        <v>7</v>
      </c>
      <c r="F13" s="30" t="s">
        <v>8</v>
      </c>
      <c r="G13" s="30" t="s">
        <v>9</v>
      </c>
      <c r="H13" s="30"/>
      <c r="I13" s="7" t="s">
        <v>10</v>
      </c>
      <c r="J13" s="7" t="s">
        <v>11</v>
      </c>
      <c r="K13" s="8" t="s">
        <v>12</v>
      </c>
      <c r="L13" s="9"/>
      <c r="M13" s="7" t="s">
        <v>11</v>
      </c>
      <c r="N13" s="52" t="s">
        <v>13</v>
      </c>
      <c r="O13" s="52"/>
      <c r="P13" s="9"/>
      <c r="Q13" s="9" t="s">
        <v>14</v>
      </c>
      <c r="R13" s="9" t="s">
        <v>15</v>
      </c>
      <c r="T13" s="78"/>
      <c r="U13" s="2"/>
    </row>
    <row r="14" spans="1:20" s="1" customFormat="true" ht="16.05" customHeight="true">
      <c r="A14" s="10"/>
      <c r="B14" s="30"/>
      <c r="C14" s="30"/>
      <c r="D14" s="30"/>
      <c r="E14" s="30"/>
      <c r="F14" s="30"/>
      <c r="G14" s="30"/>
      <c r="H14" s="30"/>
      <c r="I14" s="10"/>
      <c r="J14" s="10"/>
      <c r="K14" s="14"/>
      <c r="L14" s="15"/>
      <c r="M14" s="10"/>
      <c r="N14" s="53"/>
      <c r="O14" s="53"/>
      <c r="P14" s="15"/>
      <c r="Q14" s="15"/>
      <c r="R14" s="15"/>
      <c r="T14" s="78"/>
    </row>
    <row r="15" spans="1:20" s="1" customFormat="true" ht="28.95" customHeight="true">
      <c r="A15" s="13"/>
      <c r="B15" s="30"/>
      <c r="C15" s="30"/>
      <c r="D15" s="30"/>
      <c r="E15" s="30"/>
      <c r="F15" s="30"/>
      <c r="G15" s="30"/>
      <c r="H15" s="30"/>
      <c r="I15" s="13"/>
      <c r="J15" s="13"/>
      <c r="K15" s="54" t="s">
        <v>16</v>
      </c>
      <c r="L15" s="55" t="s">
        <v>17</v>
      </c>
      <c r="M15" s="13"/>
      <c r="N15" s="55" t="s">
        <v>18</v>
      </c>
      <c r="O15" s="55" t="s">
        <v>19</v>
      </c>
      <c r="P15" s="55" t="s">
        <v>20</v>
      </c>
      <c r="Q15" s="55" t="s">
        <v>21</v>
      </c>
      <c r="R15" s="55" t="s">
        <v>22</v>
      </c>
      <c r="T15" s="78"/>
    </row>
    <row r="16" spans="1:20" s="2" customFormat="true" ht="13.95" customHeight="true">
      <c r="A16" s="16">
        <v>2</v>
      </c>
      <c r="B16" s="17" t="str">
        <f>=DISPIMG("ID_B43A2C0F0FC749A49A9474C92F3E8130",1)</f>
        <v>=DISPIMG("ID_B43A2C0F0FC749A49A9474C92F3E8130",1)</v>
      </c>
      <c r="C16" s="18" t="s">
        <v>226</v>
      </c>
      <c r="D16" s="18" t="s">
        <v>225</v>
      </c>
      <c r="E16" s="19"/>
      <c r="F16" s="19"/>
      <c r="G16" s="20" t="s">
        <v>34</v>
      </c>
      <c r="H16" s="21" t="str">
        <f>=DISPIMG("ID_EDE254AACCB14A54BE4E671146A61B86",1)</f>
        <v>=DISPIMG("ID_EDE254AACCB14A54BE4E671146A61B86",1)</v>
      </c>
      <c r="I16" s="56">
        <v>39.22</v>
      </c>
      <c r="J16" s="57" t="s">
        <v>26</v>
      </c>
      <c r="K16" s="23">
        <v>0</v>
      </c>
      <c r="L16" s="58">
        <f>I16*K16</f>
        <v>0</v>
      </c>
      <c r="M16" s="57" t="s">
        <v>26</v>
      </c>
      <c r="N16" s="23">
        <v>0</v>
      </c>
      <c r="O16" s="23">
        <f>K16-P16</f>
        <v>0</v>
      </c>
      <c r="P16" s="23">
        <v>0</v>
      </c>
      <c r="Q16" s="23"/>
      <c r="R16" s="23"/>
      <c r="T16" s="79"/>
    </row>
    <row r="17" spans="1:20" s="2" customFormat="true">
      <c r="A17" s="16"/>
      <c r="B17" s="16"/>
      <c r="C17" s="22"/>
      <c r="D17" s="22"/>
      <c r="E17" s="23"/>
      <c r="F17" s="23"/>
      <c r="G17" s="20"/>
      <c r="H17" s="21"/>
      <c r="I17" s="59"/>
      <c r="J17" s="57" t="s">
        <v>27</v>
      </c>
      <c r="K17" s="23">
        <v>103</v>
      </c>
      <c r="L17" s="58">
        <f>I16*K17</f>
        <v>4039.66</v>
      </c>
      <c r="M17" s="57" t="s">
        <v>27</v>
      </c>
      <c r="N17" s="23">
        <v>0</v>
      </c>
      <c r="O17" s="23">
        <v>106</v>
      </c>
      <c r="P17" s="23">
        <f t="shared" ref="P17:P19" si="3">MAX(0,K17-O17)</f>
        <v>0</v>
      </c>
      <c r="Q17" s="23">
        <v>15</v>
      </c>
      <c r="R17" s="23"/>
      <c r="T17" s="79"/>
    </row>
    <row r="18" spans="1:20" s="2" customFormat="true">
      <c r="A18" s="16"/>
      <c r="B18" s="16"/>
      <c r="C18" s="22"/>
      <c r="D18" s="22"/>
      <c r="E18" s="23"/>
      <c r="F18" s="23"/>
      <c r="G18" s="20"/>
      <c r="H18" s="21"/>
      <c r="I18" s="59"/>
      <c r="J18" s="57" t="s">
        <v>28</v>
      </c>
      <c r="K18" s="23">
        <v>168</v>
      </c>
      <c r="L18" s="58">
        <f>I16*K18</f>
        <v>6588.96</v>
      </c>
      <c r="M18" s="57" t="s">
        <v>28</v>
      </c>
      <c r="N18" s="23">
        <v>0</v>
      </c>
      <c r="O18" s="23">
        <v>174</v>
      </c>
      <c r="P18" s="23">
        <f t="shared" si="3"/>
        <v>0</v>
      </c>
      <c r="Q18" s="23">
        <v>18</v>
      </c>
      <c r="R18" s="23"/>
      <c r="T18" s="79"/>
    </row>
    <row r="19" spans="1:20" s="2" customFormat="true">
      <c r="A19" s="16"/>
      <c r="B19" s="16"/>
      <c r="C19" s="22"/>
      <c r="D19" s="22"/>
      <c r="E19" s="23"/>
      <c r="F19" s="23"/>
      <c r="G19" s="20"/>
      <c r="H19" s="21"/>
      <c r="I19" s="59"/>
      <c r="J19" s="57" t="s">
        <v>29</v>
      </c>
      <c r="K19" s="23">
        <v>94</v>
      </c>
      <c r="L19" s="58">
        <f>I16*K19</f>
        <v>3686.68</v>
      </c>
      <c r="M19" s="57" t="s">
        <v>29</v>
      </c>
      <c r="N19" s="23">
        <v>0</v>
      </c>
      <c r="O19" s="23">
        <v>98</v>
      </c>
      <c r="P19" s="23">
        <f t="shared" si="3"/>
        <v>0</v>
      </c>
      <c r="Q19" s="23">
        <v>15</v>
      </c>
      <c r="R19" s="23"/>
      <c r="T19" s="79"/>
    </row>
    <row r="20" spans="1:20" s="2" customFormat="true">
      <c r="A20" s="16"/>
      <c r="B20" s="16"/>
      <c r="C20" s="22"/>
      <c r="D20" s="22"/>
      <c r="E20" s="23"/>
      <c r="F20" s="23"/>
      <c r="G20" s="20"/>
      <c r="H20" s="21"/>
      <c r="I20" s="59"/>
      <c r="J20" s="57" t="s">
        <v>30</v>
      </c>
      <c r="K20" s="23">
        <v>0</v>
      </c>
      <c r="L20" s="58">
        <f>I16*K20</f>
        <v>0</v>
      </c>
      <c r="M20" s="57" t="s">
        <v>30</v>
      </c>
      <c r="N20" s="23">
        <v>0</v>
      </c>
      <c r="O20" s="23">
        <v>0</v>
      </c>
      <c r="P20" s="23">
        <v>0</v>
      </c>
      <c r="Q20" s="23"/>
      <c r="R20" s="23"/>
      <c r="T20" s="79"/>
    </row>
    <row r="21" spans="1:20" s="2" customFormat="true">
      <c r="A21" s="16"/>
      <c r="B21" s="16"/>
      <c r="C21" s="22"/>
      <c r="D21" s="22"/>
      <c r="E21" s="23"/>
      <c r="F21" s="23"/>
      <c r="G21" s="20"/>
      <c r="H21" s="21"/>
      <c r="I21" s="60"/>
      <c r="J21" s="23" t="s">
        <v>31</v>
      </c>
      <c r="K21" s="23">
        <v>0</v>
      </c>
      <c r="L21" s="58">
        <f>I16*K21</f>
        <v>0</v>
      </c>
      <c r="M21" s="23" t="s">
        <v>31</v>
      </c>
      <c r="N21" s="23">
        <v>0</v>
      </c>
      <c r="O21" s="23">
        <v>0</v>
      </c>
      <c r="P21" s="23">
        <v>0</v>
      </c>
      <c r="Q21" s="23"/>
      <c r="R21" s="23"/>
      <c r="T21" s="79"/>
    </row>
    <row r="22" spans="1:20" s="2" customFormat="true">
      <c r="A22" s="24"/>
      <c r="B22" s="24"/>
      <c r="C22" s="25"/>
      <c r="D22" s="25"/>
      <c r="E22" s="23"/>
      <c r="F22" s="23"/>
      <c r="G22" s="26"/>
      <c r="H22" s="27"/>
      <c r="I22" s="62"/>
      <c r="J22" s="61" t="s">
        <v>32</v>
      </c>
      <c r="K22" s="64">
        <f t="shared" ref="K22:N22" si="4">SUM(K16:K21)</f>
        <v>365</v>
      </c>
      <c r="L22" s="80">
        <f t="shared" si="4"/>
        <v>14315.3</v>
      </c>
      <c r="M22" s="61" t="s">
        <v>32</v>
      </c>
      <c r="N22" s="62">
        <f t="shared" si="4"/>
        <v>0</v>
      </c>
      <c r="O22" s="64" cm="1">
        <f t="array" ref="O22">SUMPRODUCT(--(O16:O21))</f>
        <v>378</v>
      </c>
      <c r="P22" s="64" cm="1">
        <f t="array" ref="P22">SUMPRODUCT(--(P16:P21))</f>
        <v>0</v>
      </c>
      <c r="Q22" s="64">
        <f>SUM(Q16:Q21)</f>
        <v>48</v>
      </c>
      <c r="R22" s="64">
        <f>SUM(R16:R21)</f>
        <v>0</v>
      </c>
      <c r="T22" s="79"/>
    </row>
    <row r="23" spans="1:18" s="3" customFormat="true">
      <c r="A23" s="4"/>
      <c r="B23" s="4"/>
      <c r="C23" s="31"/>
      <c r="D23" s="31"/>
      <c r="E23" s="31"/>
      <c r="F23" s="31"/>
      <c r="G23" s="31"/>
      <c r="H23" s="31"/>
      <c r="I23" s="65"/>
      <c r="J23" s="31"/>
      <c r="K23" s="65"/>
      <c r="L23" s="65"/>
      <c r="M23" s="31"/>
      <c r="N23" s="65"/>
      <c r="O23" s="65"/>
      <c r="P23" s="65"/>
      <c r="Q23" s="65"/>
      <c r="R23" s="65"/>
    </row>
    <row r="24" spans="1:18" s="3" customFormat="true">
      <c r="A24" s="4"/>
      <c r="B24" s="4"/>
      <c r="C24" s="31"/>
      <c r="D24" s="31"/>
      <c r="E24" s="31"/>
      <c r="F24" s="31"/>
      <c r="G24" s="31"/>
      <c r="H24" s="31"/>
      <c r="I24" s="65"/>
      <c r="J24" s="31"/>
      <c r="K24" s="65"/>
      <c r="L24" s="65"/>
      <c r="M24" s="31"/>
      <c r="N24" s="65"/>
      <c r="O24" s="65"/>
      <c r="P24" s="65"/>
      <c r="Q24" s="65"/>
      <c r="R24" s="65"/>
    </row>
    <row r="25"/>
    <row r="26" spans="1:14" ht="46" customHeight="true">
      <c r="A26" s="32" t="s">
        <v>45</v>
      </c>
      <c r="B26" s="33"/>
      <c r="C26" s="34" t="s">
        <v>5</v>
      </c>
      <c r="D26" s="35" t="s">
        <v>6</v>
      </c>
      <c r="E26" s="35" t="s">
        <v>7</v>
      </c>
      <c r="F26" s="35" t="s">
        <v>8</v>
      </c>
      <c r="G26" s="32" t="s">
        <v>9</v>
      </c>
      <c r="H26" s="33"/>
      <c r="I26" s="34" t="s">
        <v>46</v>
      </c>
      <c r="J26" s="34" t="s">
        <v>47</v>
      </c>
      <c r="K26" s="66" t="s">
        <v>48</v>
      </c>
      <c r="L26" s="67"/>
      <c r="M26" s="32" t="s">
        <v>49</v>
      </c>
      <c r="N26" s="33"/>
    </row>
    <row r="27" spans="1:14" ht="25.05" customHeight="true">
      <c r="A27" s="36"/>
      <c r="B27" s="37"/>
      <c r="C27" s="18" t="s">
        <v>227</v>
      </c>
      <c r="D27" s="18" t="s">
        <v>225</v>
      </c>
      <c r="E27" s="38"/>
      <c r="F27" s="38"/>
      <c r="G27" s="39" t="s">
        <v>228</v>
      </c>
      <c r="H27" s="40"/>
      <c r="I27" s="68" t="str">
        <f>SUM(K11,K22)&amp;"件"</f>
        <v>620件</v>
      </c>
      <c r="J27" s="36" t="str">
        <f>SUM(O11+O22)&amp;"件"</f>
        <v>648件</v>
      </c>
      <c r="K27" s="69" t="str">
        <f>SUM(P11+P22)&amp;"件"</f>
        <v>0件</v>
      </c>
      <c r="L27" s="70"/>
      <c r="M27" s="71"/>
      <c r="N27" s="70"/>
    </row>
    <row r="28" spans="1:14" ht="25.05" customHeight="true">
      <c r="A28" s="41"/>
      <c r="B28" s="42"/>
      <c r="C28" s="22"/>
      <c r="D28" s="22"/>
      <c r="E28" s="43"/>
      <c r="F28" s="43"/>
      <c r="G28" s="44"/>
      <c r="H28" s="45"/>
      <c r="I28" s="16"/>
      <c r="J28" s="81"/>
      <c r="K28" s="72"/>
      <c r="L28" s="73"/>
      <c r="M28" s="74"/>
      <c r="N28" s="73"/>
    </row>
    <row r="29" spans="1:14">
      <c r="A29" s="41"/>
      <c r="B29" s="42"/>
      <c r="C29" s="22"/>
      <c r="D29" s="22"/>
      <c r="E29" s="43"/>
      <c r="F29" s="43"/>
      <c r="G29" s="44"/>
      <c r="H29" s="45"/>
      <c r="I29" s="16"/>
      <c r="J29" s="81"/>
      <c r="K29" s="72"/>
      <c r="L29" s="73"/>
      <c r="M29" s="74"/>
      <c r="N29" s="73"/>
    </row>
    <row r="30" spans="1:14">
      <c r="A30" s="41"/>
      <c r="B30" s="42"/>
      <c r="C30" s="22"/>
      <c r="D30" s="22"/>
      <c r="E30" s="43"/>
      <c r="F30" s="43"/>
      <c r="G30" s="44"/>
      <c r="H30" s="45"/>
      <c r="I30" s="16"/>
      <c r="J30" s="81"/>
      <c r="K30" s="72"/>
      <c r="L30" s="73"/>
      <c r="M30" s="74"/>
      <c r="N30" s="73"/>
    </row>
    <row r="31" spans="1:14">
      <c r="A31" s="41"/>
      <c r="B31" s="42"/>
      <c r="C31" s="22"/>
      <c r="D31" s="22"/>
      <c r="E31" s="43"/>
      <c r="F31" s="43"/>
      <c r="G31" s="44"/>
      <c r="H31" s="45"/>
      <c r="I31" s="16"/>
      <c r="J31" s="81"/>
      <c r="K31" s="72"/>
      <c r="L31" s="73"/>
      <c r="M31" s="74"/>
      <c r="N31" s="73"/>
    </row>
    <row r="32" spans="1:14" customHeight="true">
      <c r="A32" s="41"/>
      <c r="B32" s="42"/>
      <c r="C32" s="22"/>
      <c r="D32" s="22"/>
      <c r="E32" s="43"/>
      <c r="F32" s="43"/>
      <c r="G32" s="44"/>
      <c r="H32" s="45"/>
      <c r="I32" s="16"/>
      <c r="J32" s="81"/>
      <c r="K32" s="72"/>
      <c r="L32" s="73"/>
      <c r="M32" s="74"/>
      <c r="N32" s="73"/>
    </row>
    <row r="33" spans="1:14">
      <c r="A33" s="46"/>
      <c r="B33" s="47"/>
      <c r="C33" s="25"/>
      <c r="D33" s="25"/>
      <c r="E33" s="48"/>
      <c r="F33" s="48"/>
      <c r="G33" s="49"/>
      <c r="H33" s="50"/>
      <c r="I33" s="24"/>
      <c r="J33" s="82"/>
      <c r="K33" s="75"/>
      <c r="L33" s="76"/>
      <c r="M33" s="77"/>
      <c r="N33" s="76"/>
    </row>
  </sheetData>
  <mergeCells count="64">
    <mergeCell ref="A1:L1"/>
    <mergeCell ref="M1:O1"/>
    <mergeCell ref="P1:R1"/>
    <mergeCell ref="A12:P12"/>
    <mergeCell ref="A26:B26"/>
    <mergeCell ref="G26:H26"/>
    <mergeCell ref="K26:L26"/>
    <mergeCell ref="M26:N26"/>
    <mergeCell ref="A2:A4"/>
    <mergeCell ref="A5:A11"/>
    <mergeCell ref="A13:A15"/>
    <mergeCell ref="A16:A22"/>
    <mergeCell ref="B2:B4"/>
    <mergeCell ref="B5:B11"/>
    <mergeCell ref="B13:B15"/>
    <mergeCell ref="B16:B22"/>
    <mergeCell ref="C2:C4"/>
    <mergeCell ref="C5:C11"/>
    <mergeCell ref="C13:C15"/>
    <mergeCell ref="C16:C22"/>
    <mergeCell ref="C27:C33"/>
    <mergeCell ref="D2:D4"/>
    <mergeCell ref="D5:D11"/>
    <mergeCell ref="D13:D15"/>
    <mergeCell ref="D16:D22"/>
    <mergeCell ref="D27:D33"/>
    <mergeCell ref="E2:E4"/>
    <mergeCell ref="E5:E11"/>
    <mergeCell ref="E13:E15"/>
    <mergeCell ref="E16:E22"/>
    <mergeCell ref="E27:E33"/>
    <mergeCell ref="F2:F4"/>
    <mergeCell ref="F5:F11"/>
    <mergeCell ref="F13:F15"/>
    <mergeCell ref="F16:F22"/>
    <mergeCell ref="F27:F33"/>
    <mergeCell ref="G5:G11"/>
    <mergeCell ref="G16:G22"/>
    <mergeCell ref="H5:H11"/>
    <mergeCell ref="H16:H22"/>
    <mergeCell ref="I2:I4"/>
    <mergeCell ref="I5:I10"/>
    <mergeCell ref="I13:I15"/>
    <mergeCell ref="I16:I21"/>
    <mergeCell ref="I27:I33"/>
    <mergeCell ref="J2:J4"/>
    <mergeCell ref="J13:J15"/>
    <mergeCell ref="J27:J33"/>
    <mergeCell ref="M2:M4"/>
    <mergeCell ref="M13:M15"/>
    <mergeCell ref="Q2:Q3"/>
    <mergeCell ref="Q13:Q14"/>
    <mergeCell ref="R2:R3"/>
    <mergeCell ref="R13:R14"/>
    <mergeCell ref="G2:H4"/>
    <mergeCell ref="K2:L3"/>
    <mergeCell ref="N2:P3"/>
    <mergeCell ref="G13:H15"/>
    <mergeCell ref="K13:L14"/>
    <mergeCell ref="N13:P14"/>
    <mergeCell ref="A27:B33"/>
    <mergeCell ref="G27:H33"/>
    <mergeCell ref="K27:L33"/>
    <mergeCell ref="M27:N33"/>
  </mergeCells>
  <pageMargins left="0.75" right="0.75" top="1" bottom="1" header="0.5" footer="0.5"/>
  <pageSetup orientation="portrait" paperSize="9"/>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U33"/>
  <sheetViews>
    <sheetView workbookViewId="0">
      <selection activeCell="P26" sqref="P26"/>
    </sheetView>
  </sheetViews>
  <sheetFormatPr defaultColWidth="8.55555555555556" defaultRowHeight="14.4"/>
  <cols>
    <col customWidth="true" max="1" min="1" style="3" width="7"/>
    <col customWidth="true" max="2" min="2" style="3" width="8.77777777777778"/>
    <col customWidth="true" max="3" min="3" style="3" width="20.8518518518519"/>
    <col customWidth="true" max="4" min="4" style="3" width="9.88888888888889"/>
    <col customWidth="true" hidden="true" max="5" min="5" style="3" width="12.7777777777778"/>
    <col customWidth="true" hidden="true" max="6" min="6" style="3" width="12.6666666666667"/>
    <col customWidth="true" max="7" min="7" style="3" width="13.5740740740741"/>
    <col customWidth="true" max="8" min="8" style="3" width="11.5555555555556"/>
    <col customWidth="true" max="9" min="9" style="3" width="13.9444444444444"/>
    <col customWidth="true" max="10" min="10" style="4" width="13.2037037037037"/>
    <col customWidth="true" max="11" min="11" style="3" width="12.5833333333333"/>
    <col customWidth="true" max="12" min="12" style="3" width="15.3055555555556"/>
    <col customWidth="true" max="13" min="13" style="4" width="12.5925925925926"/>
    <col customWidth="true" max="14" min="14" style="3" width="10.8611111111111"/>
    <col customWidth="true" max="15" min="15" style="3" width="11.3518518518519"/>
    <col customWidth="true" max="18" min="16" style="3" width="13.0833333333333"/>
    <col max="16384" min="19" style="3" width="8.55555555555556"/>
  </cols>
  <sheetData>
    <row r="1" spans="1:20" s="1" customFormat="true" ht="58.8" customHeight="true">
      <c r="A1" s="5" t="s">
        <v>229</v>
      </c>
      <c r="B1" s="6"/>
      <c r="C1" s="6"/>
      <c r="D1" s="6"/>
      <c r="E1" s="6"/>
      <c r="F1" s="6"/>
      <c r="G1" s="6"/>
      <c r="H1" s="6"/>
      <c r="I1" s="6"/>
      <c r="J1" s="6"/>
      <c r="K1" s="6"/>
      <c r="L1" s="6"/>
      <c r="M1" s="6" t="s">
        <v>230</v>
      </c>
      <c r="N1" s="6"/>
      <c r="O1" s="6"/>
      <c r="P1" s="51" t="s">
        <v>2</v>
      </c>
      <c r="Q1" s="6"/>
      <c r="R1" s="6"/>
      <c r="T1" s="78"/>
    </row>
    <row r="2" spans="1:20" s="1" customFormat="true" ht="10.95" customHeight="true">
      <c r="A2" s="7" t="s">
        <v>3</v>
      </c>
      <c r="B2" s="7" t="s">
        <v>4</v>
      </c>
      <c r="C2" s="7" t="s">
        <v>5</v>
      </c>
      <c r="D2" s="7" t="s">
        <v>6</v>
      </c>
      <c r="E2" s="7" t="s">
        <v>7</v>
      </c>
      <c r="F2" s="7" t="s">
        <v>8</v>
      </c>
      <c r="G2" s="8" t="s">
        <v>9</v>
      </c>
      <c r="H2" s="9"/>
      <c r="I2" s="7" t="s">
        <v>10</v>
      </c>
      <c r="J2" s="7" t="s">
        <v>11</v>
      </c>
      <c r="K2" s="52" t="s">
        <v>12</v>
      </c>
      <c r="L2" s="9"/>
      <c r="M2" s="7" t="s">
        <v>11</v>
      </c>
      <c r="N2" s="52" t="s">
        <v>13</v>
      </c>
      <c r="O2" s="52"/>
      <c r="P2" s="9"/>
      <c r="Q2" s="9" t="s">
        <v>14</v>
      </c>
      <c r="R2" s="9" t="s">
        <v>15</v>
      </c>
      <c r="T2" s="78"/>
    </row>
    <row r="3" spans="1:20" s="1" customFormat="true" ht="16.05" customHeight="true">
      <c r="A3" s="10"/>
      <c r="B3" s="10"/>
      <c r="C3" s="10"/>
      <c r="D3" s="10"/>
      <c r="E3" s="10"/>
      <c r="F3" s="10"/>
      <c r="G3" s="11"/>
      <c r="H3" s="12"/>
      <c r="I3" s="10"/>
      <c r="J3" s="10"/>
      <c r="K3" s="53"/>
      <c r="L3" s="15"/>
      <c r="M3" s="10"/>
      <c r="N3" s="53"/>
      <c r="O3" s="53"/>
      <c r="P3" s="15"/>
      <c r="Q3" s="15"/>
      <c r="R3" s="15"/>
      <c r="T3" s="78"/>
    </row>
    <row r="4" spans="1:20" s="1" customFormat="true" ht="28.95" customHeight="true">
      <c r="A4" s="13"/>
      <c r="B4" s="13"/>
      <c r="C4" s="13"/>
      <c r="D4" s="13"/>
      <c r="E4" s="13"/>
      <c r="F4" s="13"/>
      <c r="G4" s="14"/>
      <c r="H4" s="15"/>
      <c r="I4" s="13"/>
      <c r="J4" s="13"/>
      <c r="K4" s="54" t="s">
        <v>16</v>
      </c>
      <c r="L4" s="55" t="s">
        <v>17</v>
      </c>
      <c r="M4" s="13"/>
      <c r="N4" s="55" t="s">
        <v>18</v>
      </c>
      <c r="O4" s="55" t="s">
        <v>19</v>
      </c>
      <c r="P4" s="55" t="s">
        <v>20</v>
      </c>
      <c r="Q4" s="55" t="s">
        <v>21</v>
      </c>
      <c r="R4" s="55" t="s">
        <v>22</v>
      </c>
      <c r="T4" s="78"/>
    </row>
    <row r="5" spans="1:20" s="2" customFormat="true" customHeight="true">
      <c r="A5" s="16">
        <v>1</v>
      </c>
      <c r="B5" s="17" t="str">
        <f>=DISPIMG("ID_7F3A08EED3FE4BD3A9C683B5C1CFF28C",1)</f>
        <v>=DISPIMG("ID_7F3A08EED3FE4BD3A9C683B5C1CFF28C",1)</v>
      </c>
      <c r="C5" s="18" t="s">
        <v>231</v>
      </c>
      <c r="D5" s="18" t="s">
        <v>232</v>
      </c>
      <c r="E5" s="19"/>
      <c r="F5" s="19"/>
      <c r="G5" s="20" t="s">
        <v>36</v>
      </c>
      <c r="H5" s="21" t="str">
        <f>=DISPIMG("ID_EF6398E43096435DA605C7CA70EFD6FE",1)</f>
        <v>=DISPIMG("ID_EF6398E43096435DA605C7CA70EFD6FE",1)</v>
      </c>
      <c r="I5" s="56">
        <v>31.92</v>
      </c>
      <c r="J5" s="57" t="s">
        <v>26</v>
      </c>
      <c r="K5" s="23">
        <v>0</v>
      </c>
      <c r="L5" s="58">
        <f>I5*K5</f>
        <v>0</v>
      </c>
      <c r="M5" s="57" t="s">
        <v>26</v>
      </c>
      <c r="N5" s="23">
        <v>0</v>
      </c>
      <c r="O5" s="23">
        <v>0</v>
      </c>
      <c r="P5" s="23">
        <f t="shared" ref="P5:P10" si="0">MAX(0,K5-O5)</f>
        <v>0</v>
      </c>
      <c r="Q5" s="23">
        <v>0</v>
      </c>
      <c r="R5" s="23"/>
      <c r="T5" s="79"/>
    </row>
    <row r="6" spans="1:20" s="2" customFormat="true">
      <c r="A6" s="16"/>
      <c r="B6" s="16"/>
      <c r="C6" s="22"/>
      <c r="D6" s="22"/>
      <c r="E6" s="23"/>
      <c r="F6" s="23"/>
      <c r="G6" s="20"/>
      <c r="H6" s="21"/>
      <c r="I6" s="59"/>
      <c r="J6" s="57" t="s">
        <v>27</v>
      </c>
      <c r="K6" s="23">
        <v>101</v>
      </c>
      <c r="L6" s="58">
        <f>I5*K6</f>
        <v>3223.92</v>
      </c>
      <c r="M6" s="57" t="s">
        <v>27</v>
      </c>
      <c r="N6" s="23">
        <v>0</v>
      </c>
      <c r="O6" s="23">
        <v>3</v>
      </c>
      <c r="P6" s="23">
        <f t="shared" si="0"/>
        <v>98</v>
      </c>
      <c r="Q6" s="23">
        <v>0</v>
      </c>
      <c r="R6" s="23"/>
      <c r="T6" s="79"/>
    </row>
    <row r="7" spans="1:20" s="2" customFormat="true">
      <c r="A7" s="16"/>
      <c r="B7" s="16"/>
      <c r="C7" s="22"/>
      <c r="D7" s="22"/>
      <c r="E7" s="23"/>
      <c r="F7" s="23"/>
      <c r="G7" s="20"/>
      <c r="H7" s="21"/>
      <c r="I7" s="59"/>
      <c r="J7" s="57" t="s">
        <v>28</v>
      </c>
      <c r="K7" s="23">
        <v>100</v>
      </c>
      <c r="L7" s="58">
        <f>I5*K7</f>
        <v>3192</v>
      </c>
      <c r="M7" s="57" t="s">
        <v>28</v>
      </c>
      <c r="N7" s="23">
        <v>0</v>
      </c>
      <c r="O7" s="23">
        <v>0</v>
      </c>
      <c r="P7" s="23">
        <f t="shared" si="0"/>
        <v>100</v>
      </c>
      <c r="Q7" s="23">
        <v>0</v>
      </c>
      <c r="R7" s="23"/>
      <c r="T7" s="79"/>
    </row>
    <row r="8" spans="1:20" s="2" customFormat="true">
      <c r="A8" s="16"/>
      <c r="B8" s="16"/>
      <c r="C8" s="22"/>
      <c r="D8" s="22"/>
      <c r="E8" s="23"/>
      <c r="F8" s="23"/>
      <c r="G8" s="20"/>
      <c r="H8" s="21"/>
      <c r="I8" s="59"/>
      <c r="J8" s="57" t="s">
        <v>29</v>
      </c>
      <c r="K8" s="23">
        <v>100</v>
      </c>
      <c r="L8" s="58">
        <f>I5*K8</f>
        <v>3192</v>
      </c>
      <c r="M8" s="57" t="s">
        <v>29</v>
      </c>
      <c r="N8" s="23">
        <v>0</v>
      </c>
      <c r="O8" s="23">
        <v>2</v>
      </c>
      <c r="P8" s="23">
        <f t="shared" si="0"/>
        <v>98</v>
      </c>
      <c r="Q8" s="23">
        <v>0</v>
      </c>
      <c r="R8" s="23"/>
      <c r="T8" s="79"/>
    </row>
    <row r="9" spans="1:20" s="2" customFormat="true">
      <c r="A9" s="16"/>
      <c r="B9" s="16"/>
      <c r="C9" s="22"/>
      <c r="D9" s="22"/>
      <c r="E9" s="23"/>
      <c r="F9" s="23"/>
      <c r="G9" s="20"/>
      <c r="H9" s="21"/>
      <c r="I9" s="59"/>
      <c r="J9" s="57" t="s">
        <v>30</v>
      </c>
      <c r="K9" s="23">
        <v>0</v>
      </c>
      <c r="L9" s="58">
        <f>I5*K9</f>
        <v>0</v>
      </c>
      <c r="M9" s="57" t="s">
        <v>30</v>
      </c>
      <c r="N9" s="23">
        <v>0</v>
      </c>
      <c r="O9" s="23">
        <v>0</v>
      </c>
      <c r="P9" s="23">
        <f t="shared" si="0"/>
        <v>0</v>
      </c>
      <c r="Q9" s="23">
        <v>0</v>
      </c>
      <c r="R9" s="23"/>
      <c r="T9" s="79"/>
    </row>
    <row r="10" spans="1:20" s="2" customFormat="true">
      <c r="A10" s="16"/>
      <c r="B10" s="16"/>
      <c r="C10" s="22"/>
      <c r="D10" s="22"/>
      <c r="E10" s="23"/>
      <c r="F10" s="23"/>
      <c r="G10" s="20"/>
      <c r="H10" s="21"/>
      <c r="I10" s="60"/>
      <c r="J10" s="23" t="s">
        <v>31</v>
      </c>
      <c r="K10" s="23">
        <v>0</v>
      </c>
      <c r="L10" s="58">
        <f>I5*K10</f>
        <v>0</v>
      </c>
      <c r="M10" s="23" t="s">
        <v>31</v>
      </c>
      <c r="N10" s="23">
        <v>0</v>
      </c>
      <c r="O10" s="23">
        <v>0</v>
      </c>
      <c r="P10" s="23">
        <f t="shared" si="0"/>
        <v>0</v>
      </c>
      <c r="Q10" s="23">
        <v>0</v>
      </c>
      <c r="R10" s="23"/>
      <c r="T10" s="79"/>
    </row>
    <row r="11" spans="1:20" s="2" customFormat="true">
      <c r="A11" s="24"/>
      <c r="B11" s="24"/>
      <c r="C11" s="25"/>
      <c r="D11" s="25"/>
      <c r="E11" s="23"/>
      <c r="F11" s="23"/>
      <c r="G11" s="26"/>
      <c r="H11" s="27"/>
      <c r="J11" s="61" t="s">
        <v>32</v>
      </c>
      <c r="K11" s="62">
        <f t="shared" ref="K11:N11" si="1">SUM(K5:K10)</f>
        <v>301</v>
      </c>
      <c r="L11" s="63">
        <f t="shared" si="1"/>
        <v>9607.92</v>
      </c>
      <c r="M11" s="61" t="s">
        <v>32</v>
      </c>
      <c r="N11" s="62">
        <f t="shared" si="1"/>
        <v>0</v>
      </c>
      <c r="O11" s="64" cm="1">
        <f t="array" ref="O11">SUMPRODUCT(--(O5:O10))</f>
        <v>5</v>
      </c>
      <c r="P11" s="62">
        <f t="shared" ref="P11:R11" si="2">SUM(P5:P10)</f>
        <v>296</v>
      </c>
      <c r="Q11" s="64">
        <f t="shared" si="2"/>
        <v>0</v>
      </c>
      <c r="R11" s="64">
        <f t="shared" si="2"/>
        <v>0</v>
      </c>
      <c r="T11" s="79"/>
    </row>
    <row r="12" spans="1:20" s="2" customFormat="true" ht="17.4" customHeight="true">
      <c r="A12" s="28"/>
      <c r="B12" s="29"/>
      <c r="C12" s="29"/>
      <c r="D12" s="29"/>
      <c r="E12" s="29"/>
      <c r="F12" s="29"/>
      <c r="G12" s="29"/>
      <c r="H12" s="29"/>
      <c r="I12" s="29"/>
      <c r="J12" s="29"/>
      <c r="K12" s="29"/>
      <c r="L12" s="29"/>
      <c r="M12" s="29"/>
      <c r="N12" s="29"/>
      <c r="O12" s="29"/>
      <c r="P12" s="29"/>
      <c r="Q12" s="29"/>
      <c r="R12" s="29"/>
      <c r="T12" s="79"/>
    </row>
    <row r="13" spans="1:21" s="1" customFormat="true" ht="10.95" customHeight="true">
      <c r="A13" s="7" t="s">
        <v>3</v>
      </c>
      <c r="B13" s="30" t="s">
        <v>4</v>
      </c>
      <c r="C13" s="30" t="s">
        <v>5</v>
      </c>
      <c r="D13" s="30" t="s">
        <v>6</v>
      </c>
      <c r="E13" s="30" t="s">
        <v>7</v>
      </c>
      <c r="F13" s="30" t="s">
        <v>8</v>
      </c>
      <c r="G13" s="30" t="s">
        <v>9</v>
      </c>
      <c r="H13" s="30"/>
      <c r="I13" s="7" t="s">
        <v>10</v>
      </c>
      <c r="J13" s="7" t="s">
        <v>11</v>
      </c>
      <c r="K13" s="8" t="s">
        <v>12</v>
      </c>
      <c r="L13" s="9"/>
      <c r="M13" s="7" t="s">
        <v>11</v>
      </c>
      <c r="N13" s="52" t="s">
        <v>13</v>
      </c>
      <c r="O13" s="52"/>
      <c r="P13" s="9"/>
      <c r="Q13" s="9" t="s">
        <v>14</v>
      </c>
      <c r="R13" s="9" t="s">
        <v>15</v>
      </c>
      <c r="T13" s="78"/>
      <c r="U13" s="2"/>
    </row>
    <row r="14" spans="1:20" s="1" customFormat="true" ht="16.05" customHeight="true">
      <c r="A14" s="10"/>
      <c r="B14" s="30"/>
      <c r="C14" s="30"/>
      <c r="D14" s="30"/>
      <c r="E14" s="30"/>
      <c r="F14" s="30"/>
      <c r="G14" s="30"/>
      <c r="H14" s="30"/>
      <c r="I14" s="10"/>
      <c r="J14" s="10"/>
      <c r="K14" s="14"/>
      <c r="L14" s="15"/>
      <c r="M14" s="10"/>
      <c r="N14" s="53"/>
      <c r="O14" s="53"/>
      <c r="P14" s="15"/>
      <c r="Q14" s="15"/>
      <c r="R14" s="15"/>
      <c r="T14" s="78"/>
    </row>
    <row r="15" spans="1:20" s="1" customFormat="true" ht="28.95" customHeight="true">
      <c r="A15" s="13"/>
      <c r="B15" s="30"/>
      <c r="C15" s="30"/>
      <c r="D15" s="30"/>
      <c r="E15" s="30"/>
      <c r="F15" s="30"/>
      <c r="G15" s="30"/>
      <c r="H15" s="30"/>
      <c r="I15" s="13"/>
      <c r="J15" s="13"/>
      <c r="K15" s="54" t="s">
        <v>16</v>
      </c>
      <c r="L15" s="55" t="s">
        <v>17</v>
      </c>
      <c r="M15" s="13"/>
      <c r="N15" s="55" t="s">
        <v>18</v>
      </c>
      <c r="O15" s="55" t="s">
        <v>19</v>
      </c>
      <c r="P15" s="55" t="s">
        <v>20</v>
      </c>
      <c r="Q15" s="55" t="s">
        <v>21</v>
      </c>
      <c r="R15" s="55" t="s">
        <v>22</v>
      </c>
      <c r="T15" s="78"/>
    </row>
    <row r="16" spans="1:20" s="2" customFormat="true" ht="13.95" customHeight="true">
      <c r="A16" s="16">
        <v>2</v>
      </c>
      <c r="B16" s="17" t="str">
        <f>=DISPIMG("ID_16A5FD0BE3E542258AA8C6BA545DB8A4",1)</f>
        <v>=DISPIMG("ID_16A5FD0BE3E542258AA8C6BA545DB8A4",1)</v>
      </c>
      <c r="C16" s="18" t="s">
        <v>233</v>
      </c>
      <c r="D16" s="18" t="s">
        <v>232</v>
      </c>
      <c r="E16" s="19"/>
      <c r="F16" s="19"/>
      <c r="G16" s="20" t="s">
        <v>34</v>
      </c>
      <c r="H16" s="21" t="str">
        <f>=DISPIMG("ID_EDE254AACCB14A54BE4E671146A61B86",1)</f>
        <v>=DISPIMG("ID_EDE254AACCB14A54BE4E671146A61B86",1)</v>
      </c>
      <c r="I16" s="56">
        <v>31.92</v>
      </c>
      <c r="J16" s="57" t="s">
        <v>26</v>
      </c>
      <c r="K16" s="23">
        <v>0</v>
      </c>
      <c r="L16" s="58">
        <f>I16*K16</f>
        <v>0</v>
      </c>
      <c r="M16" s="57" t="s">
        <v>26</v>
      </c>
      <c r="N16" s="23">
        <v>0</v>
      </c>
      <c r="O16" s="23">
        <v>0</v>
      </c>
      <c r="P16" s="23">
        <f t="shared" ref="P16:P21" si="3">MAX(0,K16-O16)</f>
        <v>0</v>
      </c>
      <c r="Q16" s="23">
        <v>0</v>
      </c>
      <c r="R16" s="23"/>
      <c r="T16" s="79"/>
    </row>
    <row r="17" spans="1:20" s="2" customFormat="true">
      <c r="A17" s="16"/>
      <c r="B17" s="16"/>
      <c r="C17" s="22"/>
      <c r="D17" s="22"/>
      <c r="E17" s="23"/>
      <c r="F17" s="23"/>
      <c r="G17" s="20"/>
      <c r="H17" s="21"/>
      <c r="I17" s="59"/>
      <c r="J17" s="57" t="s">
        <v>27</v>
      </c>
      <c r="K17" s="23">
        <v>103</v>
      </c>
      <c r="L17" s="58">
        <f>I16*K17</f>
        <v>3287.76</v>
      </c>
      <c r="M17" s="57" t="s">
        <v>27</v>
      </c>
      <c r="N17" s="23">
        <v>0</v>
      </c>
      <c r="O17" s="23">
        <v>3</v>
      </c>
      <c r="P17" s="23">
        <f t="shared" si="3"/>
        <v>100</v>
      </c>
      <c r="Q17" s="23">
        <v>0</v>
      </c>
      <c r="R17" s="23"/>
      <c r="T17" s="79"/>
    </row>
    <row r="18" spans="1:20" s="2" customFormat="true">
      <c r="A18" s="16"/>
      <c r="B18" s="16"/>
      <c r="C18" s="22"/>
      <c r="D18" s="22"/>
      <c r="E18" s="23"/>
      <c r="F18" s="23"/>
      <c r="G18" s="20"/>
      <c r="H18" s="21"/>
      <c r="I18" s="59"/>
      <c r="J18" s="57" t="s">
        <v>28</v>
      </c>
      <c r="K18" s="23">
        <v>168</v>
      </c>
      <c r="L18" s="58">
        <f>I16*K18</f>
        <v>5362.56</v>
      </c>
      <c r="M18" s="57" t="s">
        <v>28</v>
      </c>
      <c r="N18" s="23">
        <v>0</v>
      </c>
      <c r="O18" s="23">
        <v>0</v>
      </c>
      <c r="P18" s="23">
        <f t="shared" si="3"/>
        <v>168</v>
      </c>
      <c r="Q18" s="23">
        <v>0</v>
      </c>
      <c r="R18" s="23"/>
      <c r="T18" s="79"/>
    </row>
    <row r="19" spans="1:20" s="2" customFormat="true">
      <c r="A19" s="16"/>
      <c r="B19" s="16"/>
      <c r="C19" s="22"/>
      <c r="D19" s="22"/>
      <c r="E19" s="23"/>
      <c r="F19" s="23"/>
      <c r="G19" s="20"/>
      <c r="H19" s="21"/>
      <c r="I19" s="59"/>
      <c r="J19" s="57" t="s">
        <v>29</v>
      </c>
      <c r="K19" s="23">
        <v>101</v>
      </c>
      <c r="L19" s="58">
        <f>I16*K19</f>
        <v>3223.92</v>
      </c>
      <c r="M19" s="57" t="s">
        <v>29</v>
      </c>
      <c r="N19" s="23">
        <v>0</v>
      </c>
      <c r="O19" s="23">
        <v>4</v>
      </c>
      <c r="P19" s="23">
        <f t="shared" si="3"/>
        <v>97</v>
      </c>
      <c r="Q19" s="23">
        <v>1</v>
      </c>
      <c r="R19" s="23"/>
      <c r="T19" s="79"/>
    </row>
    <row r="20" spans="1:20" s="2" customFormat="true">
      <c r="A20" s="16"/>
      <c r="B20" s="16"/>
      <c r="C20" s="22"/>
      <c r="D20" s="22"/>
      <c r="E20" s="23"/>
      <c r="F20" s="23"/>
      <c r="G20" s="20"/>
      <c r="H20" s="21"/>
      <c r="I20" s="59"/>
      <c r="J20" s="57" t="s">
        <v>30</v>
      </c>
      <c r="K20" s="23">
        <v>0</v>
      </c>
      <c r="L20" s="58">
        <f>I16*K20</f>
        <v>0</v>
      </c>
      <c r="M20" s="57" t="s">
        <v>30</v>
      </c>
      <c r="N20" s="23">
        <v>0</v>
      </c>
      <c r="O20" s="23">
        <v>0</v>
      </c>
      <c r="P20" s="23">
        <f t="shared" si="3"/>
        <v>0</v>
      </c>
      <c r="Q20" s="23">
        <v>0</v>
      </c>
      <c r="R20" s="23"/>
      <c r="T20" s="79"/>
    </row>
    <row r="21" spans="1:20" s="2" customFormat="true">
      <c r="A21" s="16"/>
      <c r="B21" s="16"/>
      <c r="C21" s="22"/>
      <c r="D21" s="22"/>
      <c r="E21" s="23"/>
      <c r="F21" s="23"/>
      <c r="G21" s="20"/>
      <c r="H21" s="21"/>
      <c r="I21" s="60"/>
      <c r="J21" s="23" t="s">
        <v>31</v>
      </c>
      <c r="K21" s="23">
        <v>0</v>
      </c>
      <c r="L21" s="58">
        <f>I16*K21</f>
        <v>0</v>
      </c>
      <c r="M21" s="23" t="s">
        <v>31</v>
      </c>
      <c r="N21" s="23">
        <v>0</v>
      </c>
      <c r="O21" s="23">
        <v>0</v>
      </c>
      <c r="P21" s="23">
        <f t="shared" si="3"/>
        <v>0</v>
      </c>
      <c r="Q21" s="23">
        <v>0</v>
      </c>
      <c r="R21" s="23"/>
      <c r="T21" s="79"/>
    </row>
    <row r="22" spans="1:20" s="2" customFormat="true">
      <c r="A22" s="24"/>
      <c r="B22" s="24"/>
      <c r="C22" s="25"/>
      <c r="D22" s="25"/>
      <c r="E22" s="23"/>
      <c r="F22" s="23"/>
      <c r="G22" s="26"/>
      <c r="H22" s="27"/>
      <c r="I22" s="62"/>
      <c r="J22" s="61" t="s">
        <v>32</v>
      </c>
      <c r="K22" s="64">
        <f t="shared" ref="K22:N22" si="4">SUM(K16:K21)</f>
        <v>372</v>
      </c>
      <c r="L22" s="80">
        <f t="shared" si="4"/>
        <v>11874.24</v>
      </c>
      <c r="M22" s="61" t="s">
        <v>32</v>
      </c>
      <c r="N22" s="62">
        <f t="shared" si="4"/>
        <v>0</v>
      </c>
      <c r="O22" s="64" cm="1">
        <f t="array" ref="O22">SUMPRODUCT(--(O16:O21))</f>
        <v>7</v>
      </c>
      <c r="P22" s="23">
        <f>MAX(0,K22-O22+0+0)</f>
        <v>365</v>
      </c>
      <c r="Q22" s="64">
        <f>SUM(Q16:Q21)</f>
        <v>1</v>
      </c>
      <c r="R22" s="64">
        <f>SUM(R16:R21)</f>
        <v>0</v>
      </c>
      <c r="T22" s="79"/>
    </row>
    <row r="23" spans="1:18" s="3" customFormat="true">
      <c r="A23" s="4"/>
      <c r="B23" s="4"/>
      <c r="C23" s="31"/>
      <c r="D23" s="31"/>
      <c r="E23" s="31"/>
      <c r="F23" s="31"/>
      <c r="G23" s="31"/>
      <c r="H23" s="31"/>
      <c r="I23" s="65"/>
      <c r="J23" s="31"/>
      <c r="K23" s="65"/>
      <c r="L23" s="65"/>
      <c r="M23" s="31"/>
      <c r="N23" s="65"/>
      <c r="O23" s="65"/>
      <c r="P23" s="65"/>
      <c r="Q23" s="65"/>
      <c r="R23" s="65"/>
    </row>
    <row r="24" spans="1:18" s="3" customFormat="true">
      <c r="A24" s="4"/>
      <c r="B24" s="4"/>
      <c r="C24" s="31"/>
      <c r="D24" s="31"/>
      <c r="E24" s="31"/>
      <c r="F24" s="31"/>
      <c r="G24" s="31"/>
      <c r="H24" s="31"/>
      <c r="I24" s="65"/>
      <c r="J24" s="31"/>
      <c r="K24" s="65"/>
      <c r="L24" s="65"/>
      <c r="M24" s="31"/>
      <c r="N24" s="65"/>
      <c r="O24" s="65"/>
      <c r="P24" s="65"/>
      <c r="Q24" s="65"/>
      <c r="R24" s="65"/>
    </row>
    <row r="25"/>
    <row r="26" spans="1:14" ht="46" customHeight="true">
      <c r="A26" s="32" t="s">
        <v>45</v>
      </c>
      <c r="B26" s="33"/>
      <c r="C26" s="34" t="s">
        <v>5</v>
      </c>
      <c r="D26" s="35" t="s">
        <v>6</v>
      </c>
      <c r="E26" s="35" t="s">
        <v>7</v>
      </c>
      <c r="F26" s="35" t="s">
        <v>8</v>
      </c>
      <c r="G26" s="32" t="s">
        <v>9</v>
      </c>
      <c r="H26" s="33"/>
      <c r="I26" s="34" t="s">
        <v>46</v>
      </c>
      <c r="J26" s="34" t="s">
        <v>47</v>
      </c>
      <c r="K26" s="66" t="s">
        <v>48</v>
      </c>
      <c r="L26" s="67"/>
      <c r="M26" s="32" t="s">
        <v>49</v>
      </c>
      <c r="N26" s="33"/>
    </row>
    <row r="27" spans="1:14" ht="25.05" customHeight="true">
      <c r="A27" s="36"/>
      <c r="B27" s="37"/>
      <c r="C27" s="18" t="s">
        <v>234</v>
      </c>
      <c r="D27" s="18" t="s">
        <v>232</v>
      </c>
      <c r="E27" s="38"/>
      <c r="F27" s="38"/>
      <c r="G27" s="39" t="s">
        <v>235</v>
      </c>
      <c r="H27" s="40"/>
      <c r="I27" s="68" t="str">
        <f>SUM(K11,K22)&amp;"件"</f>
        <v>673件</v>
      </c>
      <c r="J27" s="68" t="str">
        <f>SUM(O11+O22)&amp;"件"</f>
        <v>12件</v>
      </c>
      <c r="K27" s="69" t="str">
        <f>SUM(P11+P22)&amp;"件"</f>
        <v>661件</v>
      </c>
      <c r="L27" s="70"/>
      <c r="M27" s="71"/>
      <c r="N27" s="70"/>
    </row>
    <row r="28" spans="1:14" ht="25.05" customHeight="true">
      <c r="A28" s="41"/>
      <c r="B28" s="42"/>
      <c r="C28" s="22"/>
      <c r="D28" s="22"/>
      <c r="E28" s="43"/>
      <c r="F28" s="43"/>
      <c r="G28" s="44"/>
      <c r="H28" s="45"/>
      <c r="I28" s="16"/>
      <c r="J28" s="16"/>
      <c r="K28" s="72"/>
      <c r="L28" s="73"/>
      <c r="M28" s="74"/>
      <c r="N28" s="73"/>
    </row>
    <row r="29" spans="1:14">
      <c r="A29" s="41"/>
      <c r="B29" s="42"/>
      <c r="C29" s="22"/>
      <c r="D29" s="22"/>
      <c r="E29" s="43"/>
      <c r="F29" s="43"/>
      <c r="G29" s="44"/>
      <c r="H29" s="45"/>
      <c r="I29" s="16"/>
      <c r="J29" s="16"/>
      <c r="K29" s="72"/>
      <c r="L29" s="73"/>
      <c r="M29" s="74"/>
      <c r="N29" s="73"/>
    </row>
    <row r="30" spans="1:14">
      <c r="A30" s="41"/>
      <c r="B30" s="42"/>
      <c r="C30" s="22"/>
      <c r="D30" s="22"/>
      <c r="E30" s="43"/>
      <c r="F30" s="43"/>
      <c r="G30" s="44"/>
      <c r="H30" s="45"/>
      <c r="I30" s="16"/>
      <c r="J30" s="16"/>
      <c r="K30" s="72"/>
      <c r="L30" s="73"/>
      <c r="M30" s="74"/>
      <c r="N30" s="73"/>
    </row>
    <row r="31" spans="1:14">
      <c r="A31" s="41"/>
      <c r="B31" s="42"/>
      <c r="C31" s="22"/>
      <c r="D31" s="22"/>
      <c r="E31" s="43"/>
      <c r="F31" s="43"/>
      <c r="G31" s="44"/>
      <c r="H31" s="45"/>
      <c r="I31" s="16"/>
      <c r="J31" s="16"/>
      <c r="K31" s="72"/>
      <c r="L31" s="73"/>
      <c r="M31" s="74"/>
      <c r="N31" s="73"/>
    </row>
    <row r="32" spans="1:14" customHeight="true">
      <c r="A32" s="41"/>
      <c r="B32" s="42"/>
      <c r="C32" s="22"/>
      <c r="D32" s="22"/>
      <c r="E32" s="43"/>
      <c r="F32" s="43"/>
      <c r="G32" s="44"/>
      <c r="H32" s="45"/>
      <c r="I32" s="16"/>
      <c r="J32" s="16"/>
      <c r="K32" s="72"/>
      <c r="L32" s="73"/>
      <c r="M32" s="74"/>
      <c r="N32" s="73"/>
    </row>
    <row r="33" spans="1:14">
      <c r="A33" s="46"/>
      <c r="B33" s="47"/>
      <c r="C33" s="25"/>
      <c r="D33" s="25"/>
      <c r="E33" s="48"/>
      <c r="F33" s="48"/>
      <c r="G33" s="49"/>
      <c r="H33" s="50"/>
      <c r="I33" s="24"/>
      <c r="J33" s="24"/>
      <c r="K33" s="75"/>
      <c r="L33" s="76"/>
      <c r="M33" s="77"/>
      <c r="N33" s="76"/>
    </row>
  </sheetData>
  <mergeCells count="64">
    <mergeCell ref="A1:L1"/>
    <mergeCell ref="M1:O1"/>
    <mergeCell ref="P1:R1"/>
    <mergeCell ref="A12:P12"/>
    <mergeCell ref="A26:B26"/>
    <mergeCell ref="G26:H26"/>
    <mergeCell ref="K26:L26"/>
    <mergeCell ref="M26:N26"/>
    <mergeCell ref="A2:A4"/>
    <mergeCell ref="A5:A11"/>
    <mergeCell ref="A13:A15"/>
    <mergeCell ref="A16:A22"/>
    <mergeCell ref="B2:B4"/>
    <mergeCell ref="B5:B11"/>
    <mergeCell ref="B13:B15"/>
    <mergeCell ref="B16:B22"/>
    <mergeCell ref="C2:C4"/>
    <mergeCell ref="C5:C11"/>
    <mergeCell ref="C13:C15"/>
    <mergeCell ref="C16:C22"/>
    <mergeCell ref="C27:C33"/>
    <mergeCell ref="D2:D4"/>
    <mergeCell ref="D5:D11"/>
    <mergeCell ref="D13:D15"/>
    <mergeCell ref="D16:D22"/>
    <mergeCell ref="D27:D33"/>
    <mergeCell ref="E2:E4"/>
    <mergeCell ref="E5:E11"/>
    <mergeCell ref="E13:E15"/>
    <mergeCell ref="E16:E22"/>
    <mergeCell ref="E27:E33"/>
    <mergeCell ref="F2:F4"/>
    <mergeCell ref="F5:F11"/>
    <mergeCell ref="F13:F15"/>
    <mergeCell ref="F16:F22"/>
    <mergeCell ref="F27:F33"/>
    <mergeCell ref="G5:G11"/>
    <mergeCell ref="G16:G22"/>
    <mergeCell ref="H5:H11"/>
    <mergeCell ref="H16:H22"/>
    <mergeCell ref="I2:I4"/>
    <mergeCell ref="I5:I10"/>
    <mergeCell ref="I13:I15"/>
    <mergeCell ref="I16:I21"/>
    <mergeCell ref="I27:I33"/>
    <mergeCell ref="J2:J4"/>
    <mergeCell ref="J13:J15"/>
    <mergeCell ref="J27:J33"/>
    <mergeCell ref="M2:M4"/>
    <mergeCell ref="M13:M15"/>
    <mergeCell ref="Q2:Q3"/>
    <mergeCell ref="Q13:Q14"/>
    <mergeCell ref="R2:R3"/>
    <mergeCell ref="R13:R14"/>
    <mergeCell ref="G2:H4"/>
    <mergeCell ref="K2:L3"/>
    <mergeCell ref="N2:P3"/>
    <mergeCell ref="G13:H15"/>
    <mergeCell ref="K13:L14"/>
    <mergeCell ref="N13:P14"/>
    <mergeCell ref="A27:B33"/>
    <mergeCell ref="G27:H33"/>
    <mergeCell ref="K27:L33"/>
    <mergeCell ref="M27:N33"/>
  </mergeCells>
  <pageMargins left="0.75" right="0.75" top="1" bottom="1" header="0.5" footer="0.5"/>
  <pageSetup orientation="portrait" paperSize="9"/>
  <headerFooter/>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U33"/>
  <sheetViews>
    <sheetView tabSelected="true" workbookViewId="0">
      <selection activeCell="Q28" sqref="Q28"/>
    </sheetView>
  </sheetViews>
  <sheetFormatPr defaultColWidth="8.55555555555556" defaultRowHeight="14.4"/>
  <cols>
    <col customWidth="true" max="1" min="1" style="3" width="7"/>
    <col customWidth="true" max="2" min="2" style="3" width="8.77777777777778"/>
    <col customWidth="true" max="3" min="3" style="3" width="18.6666666666667"/>
    <col customWidth="true" max="4" min="4" style="3" width="9.88888888888889"/>
    <col customWidth="true" hidden="true" max="5" min="5" style="3" width="12.7777777777778"/>
    <col customWidth="true" hidden="true" max="6" min="6" style="3" width="12.6666666666667"/>
    <col customWidth="true" max="7" min="7" style="3" width="13.5740740740741"/>
    <col customWidth="true" max="8" min="8" style="3" width="11.5555555555556"/>
    <col customWidth="true" max="9" min="9" style="3" width="13.9444444444444"/>
    <col customWidth="true" max="10" min="10" style="4" width="13.2037037037037"/>
    <col customWidth="true" max="11" min="11" style="3" width="12.5833333333333"/>
    <col customWidth="true" max="12" min="12" style="3" width="15.3055555555556"/>
    <col customWidth="true" max="13" min="13" style="4" width="12.5925925925926"/>
    <col customWidth="true" max="14" min="14" style="3" width="10.8611111111111"/>
    <col customWidth="true" max="15" min="15" style="3" width="11.3518518518519"/>
    <col customWidth="true" max="18" min="16" style="3" width="13.0833333333333"/>
    <col max="16384" min="19" style="3" width="8.55555555555556"/>
  </cols>
  <sheetData>
    <row r="1" spans="1:20" s="1" customFormat="true" ht="58.8" customHeight="true">
      <c r="A1" s="5" t="s">
        <v>236</v>
      </c>
      <c r="B1" s="6"/>
      <c r="C1" s="6"/>
      <c r="D1" s="6"/>
      <c r="E1" s="6"/>
      <c r="F1" s="6"/>
      <c r="G1" s="6"/>
      <c r="H1" s="6"/>
      <c r="I1" s="6"/>
      <c r="J1" s="6"/>
      <c r="K1" s="6"/>
      <c r="L1" s="6"/>
      <c r="M1" s="6" t="s">
        <v>237</v>
      </c>
      <c r="N1" s="6"/>
      <c r="O1" s="6"/>
      <c r="P1" s="51" t="s">
        <v>2</v>
      </c>
      <c r="Q1" s="6"/>
      <c r="R1" s="6"/>
      <c r="T1" s="78"/>
    </row>
    <row r="2" spans="1:20" s="1" customFormat="true" ht="10.95" customHeight="true">
      <c r="A2" s="7" t="s">
        <v>3</v>
      </c>
      <c r="B2" s="7" t="s">
        <v>4</v>
      </c>
      <c r="C2" s="7" t="s">
        <v>5</v>
      </c>
      <c r="D2" s="7" t="s">
        <v>6</v>
      </c>
      <c r="E2" s="7" t="s">
        <v>7</v>
      </c>
      <c r="F2" s="7" t="s">
        <v>8</v>
      </c>
      <c r="G2" s="8" t="s">
        <v>9</v>
      </c>
      <c r="H2" s="9"/>
      <c r="I2" s="7" t="s">
        <v>10</v>
      </c>
      <c r="J2" s="7" t="s">
        <v>11</v>
      </c>
      <c r="K2" s="52" t="s">
        <v>12</v>
      </c>
      <c r="L2" s="9"/>
      <c r="M2" s="7" t="s">
        <v>11</v>
      </c>
      <c r="N2" s="52" t="s">
        <v>161</v>
      </c>
      <c r="O2" s="52"/>
      <c r="P2" s="9"/>
      <c r="Q2" s="9" t="s">
        <v>14</v>
      </c>
      <c r="R2" s="9" t="s">
        <v>15</v>
      </c>
      <c r="T2" s="78"/>
    </row>
    <row r="3" spans="1:20" s="1" customFormat="true" ht="16.05" customHeight="true">
      <c r="A3" s="10"/>
      <c r="B3" s="10"/>
      <c r="C3" s="10"/>
      <c r="D3" s="10"/>
      <c r="E3" s="10"/>
      <c r="F3" s="10"/>
      <c r="G3" s="11"/>
      <c r="H3" s="12"/>
      <c r="I3" s="10"/>
      <c r="J3" s="10"/>
      <c r="K3" s="53"/>
      <c r="L3" s="15"/>
      <c r="M3" s="10"/>
      <c r="N3" s="53"/>
      <c r="O3" s="53"/>
      <c r="P3" s="15"/>
      <c r="Q3" s="15"/>
      <c r="R3" s="15"/>
      <c r="T3" s="78"/>
    </row>
    <row r="4" spans="1:20" s="1" customFormat="true" ht="28.95" customHeight="true">
      <c r="A4" s="13"/>
      <c r="B4" s="13"/>
      <c r="C4" s="13"/>
      <c r="D4" s="13"/>
      <c r="E4" s="13"/>
      <c r="F4" s="13"/>
      <c r="G4" s="14"/>
      <c r="H4" s="15"/>
      <c r="I4" s="13"/>
      <c r="J4" s="13"/>
      <c r="K4" s="54" t="s">
        <v>16</v>
      </c>
      <c r="L4" s="55" t="s">
        <v>17</v>
      </c>
      <c r="M4" s="13"/>
      <c r="N4" s="55" t="s">
        <v>18</v>
      </c>
      <c r="O4" s="55" t="s">
        <v>19</v>
      </c>
      <c r="P4" s="55" t="s">
        <v>20</v>
      </c>
      <c r="Q4" s="55" t="s">
        <v>21</v>
      </c>
      <c r="R4" s="55" t="s">
        <v>22</v>
      </c>
      <c r="T4" s="78"/>
    </row>
    <row r="5" spans="1:20" s="2" customFormat="true" customHeight="true">
      <c r="A5" s="16">
        <v>1</v>
      </c>
      <c r="B5" s="17" t="str">
        <f>=DISPIMG("ID_B11265ACF0134C33A0018F28BCA4A21B",1)</f>
        <v>=DISPIMG("ID_B11265ACF0134C33A0018F28BCA4A21B",1)</v>
      </c>
      <c r="C5" s="18" t="s">
        <v>238</v>
      </c>
      <c r="D5" s="18" t="s">
        <v>239</v>
      </c>
      <c r="E5" s="19"/>
      <c r="F5" s="19"/>
      <c r="G5" s="20" t="s">
        <v>25</v>
      </c>
      <c r="H5" s="21" t="str">
        <f>=DISPIMG("ID_A43AF2AFE4C442CB88649F6A9556D66B",1)</f>
        <v>=DISPIMG("ID_A43AF2AFE4C442CB88649F6A9556D66B",1)</v>
      </c>
      <c r="I5" s="56">
        <v>27.57</v>
      </c>
      <c r="J5" s="57" t="s">
        <v>26</v>
      </c>
      <c r="K5" s="23">
        <v>0</v>
      </c>
      <c r="L5" s="58">
        <f>I5*K5</f>
        <v>0</v>
      </c>
      <c r="M5" s="57" t="s">
        <v>26</v>
      </c>
      <c r="N5" s="23">
        <v>0</v>
      </c>
      <c r="O5" s="23">
        <v>0</v>
      </c>
      <c r="P5" s="23">
        <v>0</v>
      </c>
      <c r="Q5" s="23"/>
      <c r="R5" s="23"/>
      <c r="T5" s="79"/>
    </row>
    <row r="6" spans="1:20" s="2" customFormat="true">
      <c r="A6" s="16"/>
      <c r="B6" s="16"/>
      <c r="C6" s="22"/>
      <c r="D6" s="22"/>
      <c r="E6" s="23"/>
      <c r="F6" s="23"/>
      <c r="G6" s="20"/>
      <c r="H6" s="21"/>
      <c r="I6" s="59"/>
      <c r="J6" s="57" t="s">
        <v>27</v>
      </c>
      <c r="K6" s="23">
        <v>103</v>
      </c>
      <c r="L6" s="58">
        <f>I5*K6</f>
        <v>2839.71</v>
      </c>
      <c r="M6" s="57" t="s">
        <v>27</v>
      </c>
      <c r="N6" s="23">
        <v>0</v>
      </c>
      <c r="O6" s="23">
        <v>3</v>
      </c>
      <c r="P6" s="23">
        <f t="shared" ref="P6:P8" si="0">MAX(0,K6-O6)</f>
        <v>100</v>
      </c>
      <c r="Q6" s="23">
        <v>1</v>
      </c>
      <c r="R6" s="23"/>
      <c r="T6" s="79"/>
    </row>
    <row r="7" spans="1:20" s="2" customFormat="true">
      <c r="A7" s="16"/>
      <c r="B7" s="16"/>
      <c r="C7" s="22"/>
      <c r="D7" s="22"/>
      <c r="E7" s="23"/>
      <c r="F7" s="23"/>
      <c r="G7" s="20"/>
      <c r="H7" s="21"/>
      <c r="I7" s="59"/>
      <c r="J7" s="57" t="s">
        <v>28</v>
      </c>
      <c r="K7" s="23">
        <v>103</v>
      </c>
      <c r="L7" s="58">
        <f>I5*K7</f>
        <v>2839.71</v>
      </c>
      <c r="M7" s="57" t="s">
        <v>28</v>
      </c>
      <c r="N7" s="23">
        <v>0</v>
      </c>
      <c r="O7" s="23">
        <v>15</v>
      </c>
      <c r="P7" s="23">
        <f t="shared" si="0"/>
        <v>88</v>
      </c>
      <c r="Q7" s="23">
        <v>2</v>
      </c>
      <c r="R7" s="23"/>
      <c r="T7" s="79"/>
    </row>
    <row r="8" spans="1:20" s="2" customFormat="true">
      <c r="A8" s="16"/>
      <c r="B8" s="16"/>
      <c r="C8" s="22"/>
      <c r="D8" s="22"/>
      <c r="E8" s="23"/>
      <c r="F8" s="23"/>
      <c r="G8" s="20"/>
      <c r="H8" s="21"/>
      <c r="I8" s="59"/>
      <c r="J8" s="57" t="s">
        <v>29</v>
      </c>
      <c r="K8" s="23">
        <v>103</v>
      </c>
      <c r="L8" s="58">
        <f>I5*K8</f>
        <v>2839.71</v>
      </c>
      <c r="M8" s="57" t="s">
        <v>29</v>
      </c>
      <c r="N8" s="23">
        <v>0</v>
      </c>
      <c r="O8" s="23">
        <v>11</v>
      </c>
      <c r="P8" s="23">
        <f t="shared" si="0"/>
        <v>92</v>
      </c>
      <c r="Q8" s="23">
        <v>3</v>
      </c>
      <c r="R8" s="23"/>
      <c r="T8" s="79"/>
    </row>
    <row r="9" spans="1:20" s="2" customFormat="true">
      <c r="A9" s="16"/>
      <c r="B9" s="16"/>
      <c r="C9" s="22"/>
      <c r="D9" s="22"/>
      <c r="E9" s="23"/>
      <c r="F9" s="23"/>
      <c r="G9" s="20"/>
      <c r="H9" s="21"/>
      <c r="I9" s="59"/>
      <c r="J9" s="57" t="s">
        <v>30</v>
      </c>
      <c r="K9" s="23">
        <v>0</v>
      </c>
      <c r="L9" s="58">
        <f>I5*K9</f>
        <v>0</v>
      </c>
      <c r="M9" s="57" t="s">
        <v>30</v>
      </c>
      <c r="N9" s="23">
        <v>0</v>
      </c>
      <c r="O9" s="23">
        <v>0</v>
      </c>
      <c r="P9" s="23">
        <v>0</v>
      </c>
      <c r="Q9" s="23"/>
      <c r="R9" s="23"/>
      <c r="T9" s="79"/>
    </row>
    <row r="10" spans="1:20" s="2" customFormat="true">
      <c r="A10" s="16"/>
      <c r="B10" s="16"/>
      <c r="C10" s="22"/>
      <c r="D10" s="22"/>
      <c r="E10" s="23"/>
      <c r="F10" s="23"/>
      <c r="G10" s="20"/>
      <c r="H10" s="21"/>
      <c r="I10" s="60"/>
      <c r="J10" s="23" t="s">
        <v>31</v>
      </c>
      <c r="K10" s="23">
        <v>0</v>
      </c>
      <c r="L10" s="58">
        <f>I5*K10</f>
        <v>0</v>
      </c>
      <c r="M10" s="23" t="s">
        <v>31</v>
      </c>
      <c r="N10" s="23">
        <v>0</v>
      </c>
      <c r="O10" s="23">
        <v>0</v>
      </c>
      <c r="P10" s="23">
        <v>0</v>
      </c>
      <c r="Q10" s="23"/>
      <c r="R10" s="23"/>
      <c r="T10" s="79"/>
    </row>
    <row r="11" spans="1:20" s="2" customFormat="true">
      <c r="A11" s="24"/>
      <c r="B11" s="24"/>
      <c r="C11" s="25"/>
      <c r="D11" s="25"/>
      <c r="E11" s="23"/>
      <c r="F11" s="23"/>
      <c r="G11" s="26"/>
      <c r="H11" s="27"/>
      <c r="J11" s="61" t="s">
        <v>32</v>
      </c>
      <c r="K11" s="62">
        <f t="shared" ref="K11:N11" si="1">SUM(K5:K10)</f>
        <v>309</v>
      </c>
      <c r="L11" s="63">
        <f t="shared" si="1"/>
        <v>8519.13</v>
      </c>
      <c r="M11" s="61" t="s">
        <v>32</v>
      </c>
      <c r="N11" s="62">
        <f t="shared" si="1"/>
        <v>0</v>
      </c>
      <c r="O11" s="64" cm="1">
        <f t="array" ref="O11">SUMPRODUCT(--(O5:O10))</f>
        <v>29</v>
      </c>
      <c r="P11" s="64" cm="1">
        <f t="array" ref="P11">SUMPRODUCT(--(P5:P10))</f>
        <v>280</v>
      </c>
      <c r="Q11" s="64">
        <f>SUM(Q5:Q10)</f>
        <v>6</v>
      </c>
      <c r="R11" s="64">
        <f>SUM(R5:R10)</f>
        <v>0</v>
      </c>
      <c r="T11" s="79"/>
    </row>
    <row r="12" spans="1:20" s="2" customFormat="true" ht="17.4" customHeight="true">
      <c r="A12" s="28"/>
      <c r="B12" s="29"/>
      <c r="C12" s="29"/>
      <c r="D12" s="29"/>
      <c r="E12" s="29"/>
      <c r="F12" s="29"/>
      <c r="G12" s="29"/>
      <c r="H12" s="29"/>
      <c r="I12" s="29"/>
      <c r="J12" s="29"/>
      <c r="K12" s="29"/>
      <c r="L12" s="29"/>
      <c r="M12" s="29"/>
      <c r="N12" s="29"/>
      <c r="O12" s="29"/>
      <c r="P12" s="29"/>
      <c r="Q12" s="29"/>
      <c r="R12" s="29"/>
      <c r="T12" s="79"/>
    </row>
    <row r="13" spans="1:21" s="1" customFormat="true" ht="10.95" customHeight="true">
      <c r="A13" s="7" t="s">
        <v>3</v>
      </c>
      <c r="B13" s="30" t="s">
        <v>4</v>
      </c>
      <c r="C13" s="7" t="s">
        <v>5</v>
      </c>
      <c r="D13" s="30" t="s">
        <v>6</v>
      </c>
      <c r="E13" s="30" t="s">
        <v>7</v>
      </c>
      <c r="F13" s="30" t="s">
        <v>8</v>
      </c>
      <c r="G13" s="30" t="s">
        <v>9</v>
      </c>
      <c r="H13" s="30"/>
      <c r="I13" s="7" t="s">
        <v>10</v>
      </c>
      <c r="J13" s="7" t="s">
        <v>11</v>
      </c>
      <c r="K13" s="8" t="s">
        <v>12</v>
      </c>
      <c r="L13" s="9"/>
      <c r="M13" s="7" t="s">
        <v>11</v>
      </c>
      <c r="N13" s="52" t="s">
        <v>161</v>
      </c>
      <c r="O13" s="52"/>
      <c r="P13" s="9"/>
      <c r="Q13" s="9" t="s">
        <v>14</v>
      </c>
      <c r="R13" s="9" t="s">
        <v>15</v>
      </c>
      <c r="T13" s="78"/>
      <c r="U13" s="2"/>
    </row>
    <row r="14" spans="1:20" s="1" customFormat="true" ht="16.05" customHeight="true">
      <c r="A14" s="10"/>
      <c r="B14" s="30"/>
      <c r="C14" s="10"/>
      <c r="D14" s="30"/>
      <c r="E14" s="30"/>
      <c r="F14" s="30"/>
      <c r="G14" s="30"/>
      <c r="H14" s="30"/>
      <c r="I14" s="10"/>
      <c r="J14" s="10"/>
      <c r="K14" s="14"/>
      <c r="L14" s="15"/>
      <c r="M14" s="10"/>
      <c r="N14" s="53"/>
      <c r="O14" s="53"/>
      <c r="P14" s="15"/>
      <c r="Q14" s="15"/>
      <c r="R14" s="15"/>
      <c r="T14" s="78"/>
    </row>
    <row r="15" spans="1:20" s="1" customFormat="true" ht="28.95" customHeight="true">
      <c r="A15" s="13"/>
      <c r="B15" s="30"/>
      <c r="C15" s="13"/>
      <c r="D15" s="30"/>
      <c r="E15" s="30"/>
      <c r="F15" s="30"/>
      <c r="G15" s="30"/>
      <c r="H15" s="30"/>
      <c r="I15" s="13"/>
      <c r="J15" s="13"/>
      <c r="K15" s="54" t="s">
        <v>16</v>
      </c>
      <c r="L15" s="55" t="s">
        <v>17</v>
      </c>
      <c r="M15" s="13"/>
      <c r="N15" s="55" t="s">
        <v>18</v>
      </c>
      <c r="O15" s="55" t="s">
        <v>19</v>
      </c>
      <c r="P15" s="55" t="s">
        <v>20</v>
      </c>
      <c r="Q15" s="55" t="s">
        <v>21</v>
      </c>
      <c r="R15" s="55" t="s">
        <v>22</v>
      </c>
      <c r="T15" s="78"/>
    </row>
    <row r="16" spans="1:20" s="2" customFormat="true" ht="13.95" customHeight="true">
      <c r="A16" s="16">
        <v>2</v>
      </c>
      <c r="B16" s="17" t="str">
        <f>=DISPIMG("ID_1548B4D86596428F81EA30C60845970D",1)</f>
        <v>=DISPIMG("ID_1548B4D86596428F81EA30C60845970D",1)</v>
      </c>
      <c r="C16" s="18" t="s">
        <v>240</v>
      </c>
      <c r="D16" s="18" t="s">
        <v>239</v>
      </c>
      <c r="E16" s="19"/>
      <c r="F16" s="19"/>
      <c r="G16" s="20" t="s">
        <v>34</v>
      </c>
      <c r="H16" s="21" t="str">
        <f>=DISPIMG("ID_2FBAB8E2767E43A7BDA6E5B31857F835",1)</f>
        <v>=DISPIMG("ID_2FBAB8E2767E43A7BDA6E5B31857F835",1)</v>
      </c>
      <c r="I16" s="56">
        <v>27.57</v>
      </c>
      <c r="J16" s="57" t="s">
        <v>26</v>
      </c>
      <c r="K16" s="23">
        <v>0</v>
      </c>
      <c r="L16" s="58">
        <f>I16*K16</f>
        <v>0</v>
      </c>
      <c r="M16" s="57" t="s">
        <v>26</v>
      </c>
      <c r="N16" s="23">
        <v>0</v>
      </c>
      <c r="O16" s="23">
        <v>0</v>
      </c>
      <c r="P16" s="23">
        <v>0</v>
      </c>
      <c r="Q16" s="23"/>
      <c r="R16" s="23"/>
      <c r="T16" s="79"/>
    </row>
    <row r="17" spans="1:20" s="2" customFormat="true">
      <c r="A17" s="16"/>
      <c r="B17" s="16"/>
      <c r="C17" s="22"/>
      <c r="D17" s="22"/>
      <c r="E17" s="23"/>
      <c r="F17" s="23"/>
      <c r="G17" s="20"/>
      <c r="H17" s="21"/>
      <c r="I17" s="59"/>
      <c r="J17" s="57" t="s">
        <v>27</v>
      </c>
      <c r="K17" s="23">
        <v>105</v>
      </c>
      <c r="L17" s="58">
        <f>I16*K17</f>
        <v>2894.85</v>
      </c>
      <c r="M17" s="57" t="s">
        <v>27</v>
      </c>
      <c r="N17" s="23">
        <v>0</v>
      </c>
      <c r="O17" s="23">
        <v>11</v>
      </c>
      <c r="P17" s="23">
        <f t="shared" ref="P17:P19" si="2">MAX(0,K17-O17)</f>
        <v>94</v>
      </c>
      <c r="Q17" s="23">
        <v>4</v>
      </c>
      <c r="R17" s="23"/>
      <c r="T17" s="79"/>
    </row>
    <row r="18" spans="1:20" s="2" customFormat="true">
      <c r="A18" s="16"/>
      <c r="B18" s="16"/>
      <c r="C18" s="22"/>
      <c r="D18" s="22"/>
      <c r="E18" s="23"/>
      <c r="F18" s="23"/>
      <c r="G18" s="20"/>
      <c r="H18" s="21"/>
      <c r="I18" s="59"/>
      <c r="J18" s="57" t="s">
        <v>28</v>
      </c>
      <c r="K18" s="23">
        <v>171</v>
      </c>
      <c r="L18" s="58">
        <f>I16*K18</f>
        <v>4714.47</v>
      </c>
      <c r="M18" s="57" t="s">
        <v>28</v>
      </c>
      <c r="N18" s="23">
        <v>0</v>
      </c>
      <c r="O18" s="23">
        <v>30</v>
      </c>
      <c r="P18" s="23">
        <f t="shared" si="2"/>
        <v>141</v>
      </c>
      <c r="Q18" s="23">
        <v>6</v>
      </c>
      <c r="R18" s="23"/>
      <c r="T18" s="79"/>
    </row>
    <row r="19" spans="1:20" s="2" customFormat="true">
      <c r="A19" s="16"/>
      <c r="B19" s="16"/>
      <c r="C19" s="22"/>
      <c r="D19" s="22"/>
      <c r="E19" s="23"/>
      <c r="F19" s="23"/>
      <c r="G19" s="20"/>
      <c r="H19" s="21"/>
      <c r="I19" s="59"/>
      <c r="J19" s="57" t="s">
        <v>29</v>
      </c>
      <c r="K19" s="23">
        <v>77</v>
      </c>
      <c r="L19" s="58">
        <f>I16*K19</f>
        <v>2122.89</v>
      </c>
      <c r="M19" s="57" t="s">
        <v>29</v>
      </c>
      <c r="N19" s="23">
        <v>0</v>
      </c>
      <c r="O19" s="23">
        <v>32</v>
      </c>
      <c r="P19" s="23">
        <f t="shared" si="2"/>
        <v>45</v>
      </c>
      <c r="Q19" s="23">
        <v>12</v>
      </c>
      <c r="R19" s="23"/>
      <c r="T19" s="79"/>
    </row>
    <row r="20" spans="1:20" s="2" customFormat="true">
      <c r="A20" s="16"/>
      <c r="B20" s="16"/>
      <c r="C20" s="22"/>
      <c r="D20" s="22"/>
      <c r="E20" s="23"/>
      <c r="F20" s="23"/>
      <c r="G20" s="20"/>
      <c r="H20" s="21"/>
      <c r="I20" s="59"/>
      <c r="J20" s="57" t="s">
        <v>30</v>
      </c>
      <c r="K20" s="23">
        <v>0</v>
      </c>
      <c r="L20" s="58">
        <f>I16*K20</f>
        <v>0</v>
      </c>
      <c r="M20" s="57" t="s">
        <v>30</v>
      </c>
      <c r="N20" s="23">
        <v>0</v>
      </c>
      <c r="O20" s="23">
        <v>0</v>
      </c>
      <c r="P20" s="23">
        <v>0</v>
      </c>
      <c r="Q20" s="23"/>
      <c r="R20" s="23"/>
      <c r="T20" s="79"/>
    </row>
    <row r="21" spans="1:20" s="2" customFormat="true">
      <c r="A21" s="16"/>
      <c r="B21" s="16"/>
      <c r="C21" s="22"/>
      <c r="D21" s="22"/>
      <c r="E21" s="23"/>
      <c r="F21" s="23"/>
      <c r="G21" s="20"/>
      <c r="H21" s="21"/>
      <c r="I21" s="60"/>
      <c r="J21" s="23" t="s">
        <v>31</v>
      </c>
      <c r="K21" s="23">
        <v>0</v>
      </c>
      <c r="L21" s="58">
        <f>I16*K21</f>
        <v>0</v>
      </c>
      <c r="M21" s="23" t="s">
        <v>31</v>
      </c>
      <c r="N21" s="23">
        <v>0</v>
      </c>
      <c r="O21" s="23">
        <v>0</v>
      </c>
      <c r="P21" s="23">
        <v>0</v>
      </c>
      <c r="Q21" s="23"/>
      <c r="R21" s="23"/>
      <c r="T21" s="79"/>
    </row>
    <row r="22" spans="1:20" s="2" customFormat="true">
      <c r="A22" s="24"/>
      <c r="B22" s="24"/>
      <c r="C22" s="25"/>
      <c r="D22" s="25"/>
      <c r="E22" s="23"/>
      <c r="F22" s="23"/>
      <c r="G22" s="26"/>
      <c r="H22" s="27"/>
      <c r="I22" s="62"/>
      <c r="J22" s="61" t="s">
        <v>32</v>
      </c>
      <c r="K22" s="62">
        <f t="shared" ref="K22:N22" si="3">SUM(K16:K21)</f>
        <v>353</v>
      </c>
      <c r="L22" s="63">
        <f t="shared" si="3"/>
        <v>9732.21</v>
      </c>
      <c r="M22" s="61" t="s">
        <v>32</v>
      </c>
      <c r="N22" s="62">
        <f t="shared" si="3"/>
        <v>0</v>
      </c>
      <c r="O22" s="64" cm="1">
        <f t="array" ref="O22">SUMPRODUCT(--(O16:O21))</f>
        <v>73</v>
      </c>
      <c r="P22" s="64" cm="1">
        <f t="array" ref="P22">SUMPRODUCT(--(P16:P21))</f>
        <v>280</v>
      </c>
      <c r="Q22" s="64">
        <f>SUM(Q16:Q21)</f>
        <v>22</v>
      </c>
      <c r="R22" s="64">
        <f>SUM(R16:R21)</f>
        <v>0</v>
      </c>
      <c r="T22" s="79"/>
    </row>
    <row r="23" spans="1:18" s="3" customFormat="true">
      <c r="A23" s="4"/>
      <c r="B23" s="4"/>
      <c r="C23" s="31"/>
      <c r="D23" s="31"/>
      <c r="E23" s="31"/>
      <c r="F23" s="31"/>
      <c r="G23" s="31"/>
      <c r="H23" s="31"/>
      <c r="I23" s="65"/>
      <c r="J23" s="31"/>
      <c r="K23" s="65"/>
      <c r="L23" s="65"/>
      <c r="M23" s="31"/>
      <c r="N23" s="65"/>
      <c r="O23" s="65"/>
      <c r="P23" s="65"/>
      <c r="Q23" s="65"/>
      <c r="R23" s="65"/>
    </row>
    <row r="24" spans="1:18" s="3" customFormat="true">
      <c r="A24" s="4"/>
      <c r="B24" s="4"/>
      <c r="C24" s="31"/>
      <c r="D24" s="31"/>
      <c r="E24" s="31"/>
      <c r="F24" s="31"/>
      <c r="G24" s="31"/>
      <c r="H24" s="31"/>
      <c r="I24" s="65"/>
      <c r="J24" s="31"/>
      <c r="K24" s="65"/>
      <c r="L24" s="65"/>
      <c r="M24" s="31"/>
      <c r="N24" s="65"/>
      <c r="O24" s="65"/>
      <c r="P24" s="65"/>
      <c r="Q24" s="65"/>
      <c r="R24" s="65"/>
    </row>
    <row r="25"/>
    <row r="26" spans="1:14" s="3" customFormat="true" ht="46" customHeight="true">
      <c r="A26" s="32" t="s">
        <v>45</v>
      </c>
      <c r="B26" s="33"/>
      <c r="C26" s="34" t="s">
        <v>5</v>
      </c>
      <c r="D26" s="35" t="s">
        <v>6</v>
      </c>
      <c r="E26" s="35" t="s">
        <v>7</v>
      </c>
      <c r="F26" s="35" t="s">
        <v>8</v>
      </c>
      <c r="G26" s="32" t="s">
        <v>9</v>
      </c>
      <c r="H26" s="33"/>
      <c r="I26" s="34" t="s">
        <v>46</v>
      </c>
      <c r="J26" s="34" t="s">
        <v>47</v>
      </c>
      <c r="K26" s="66" t="s">
        <v>48</v>
      </c>
      <c r="L26" s="67"/>
      <c r="M26" s="32" t="s">
        <v>49</v>
      </c>
      <c r="N26" s="33"/>
    </row>
    <row r="27" spans="1:14" s="3" customFormat="true" ht="25.05" customHeight="true">
      <c r="A27" s="36"/>
      <c r="B27" s="37"/>
      <c r="C27" s="18" t="s">
        <v>241</v>
      </c>
      <c r="D27" s="18" t="s">
        <v>239</v>
      </c>
      <c r="E27" s="38"/>
      <c r="F27" s="38"/>
      <c r="G27" s="39" t="s">
        <v>242</v>
      </c>
      <c r="H27" s="40"/>
      <c r="I27" s="68" t="str">
        <f>SUM(K11,K22)&amp;"件"</f>
        <v>662件</v>
      </c>
      <c r="J27" s="68" t="str">
        <f>SUM(O11,O22)&amp;"件"</f>
        <v>102件</v>
      </c>
      <c r="K27" s="69" t="str">
        <f>SUM(P11+P22)&amp;"件"</f>
        <v>560件</v>
      </c>
      <c r="L27" s="70"/>
      <c r="M27" s="71"/>
      <c r="N27" s="70"/>
    </row>
    <row r="28" spans="1:14" s="3" customFormat="true" ht="25.05" customHeight="true">
      <c r="A28" s="41"/>
      <c r="B28" s="42"/>
      <c r="C28" s="22"/>
      <c r="D28" s="22"/>
      <c r="E28" s="43"/>
      <c r="F28" s="43"/>
      <c r="G28" s="44"/>
      <c r="H28" s="45"/>
      <c r="I28" s="16"/>
      <c r="J28" s="16"/>
      <c r="K28" s="72"/>
      <c r="L28" s="73"/>
      <c r="M28" s="74"/>
      <c r="N28" s="73"/>
    </row>
    <row r="29" spans="1:14" s="3" customFormat="true">
      <c r="A29" s="41"/>
      <c r="B29" s="42"/>
      <c r="C29" s="22"/>
      <c r="D29" s="22"/>
      <c r="E29" s="43"/>
      <c r="F29" s="43"/>
      <c r="G29" s="44"/>
      <c r="H29" s="45"/>
      <c r="I29" s="16"/>
      <c r="J29" s="16"/>
      <c r="K29" s="72"/>
      <c r="L29" s="73"/>
      <c r="M29" s="74"/>
      <c r="N29" s="73"/>
    </row>
    <row r="30" spans="1:14" s="3" customFormat="true">
      <c r="A30" s="41"/>
      <c r="B30" s="42"/>
      <c r="C30" s="22"/>
      <c r="D30" s="22"/>
      <c r="E30" s="43"/>
      <c r="F30" s="43"/>
      <c r="G30" s="44"/>
      <c r="H30" s="45"/>
      <c r="I30" s="16"/>
      <c r="J30" s="16"/>
      <c r="K30" s="72"/>
      <c r="L30" s="73"/>
      <c r="M30" s="74"/>
      <c r="N30" s="73"/>
    </row>
    <row r="31" spans="1:14" s="3" customFormat="true">
      <c r="A31" s="41"/>
      <c r="B31" s="42"/>
      <c r="C31" s="22"/>
      <c r="D31" s="22"/>
      <c r="E31" s="43"/>
      <c r="F31" s="43"/>
      <c r="G31" s="44"/>
      <c r="H31" s="45"/>
      <c r="I31" s="16"/>
      <c r="J31" s="16"/>
      <c r="K31" s="72"/>
      <c r="L31" s="73"/>
      <c r="M31" s="74"/>
      <c r="N31" s="73"/>
    </row>
    <row r="32" spans="1:14" s="3" customFormat="true" customHeight="true">
      <c r="A32" s="41"/>
      <c r="B32" s="42"/>
      <c r="C32" s="22"/>
      <c r="D32" s="22"/>
      <c r="E32" s="43"/>
      <c r="F32" s="43"/>
      <c r="G32" s="44"/>
      <c r="H32" s="45"/>
      <c r="I32" s="16"/>
      <c r="J32" s="16"/>
      <c r="K32" s="72"/>
      <c r="L32" s="73"/>
      <c r="M32" s="74"/>
      <c r="N32" s="73"/>
    </row>
    <row r="33" spans="1:14" s="3" customFormat="true">
      <c r="A33" s="46"/>
      <c r="B33" s="47"/>
      <c r="C33" s="25"/>
      <c r="D33" s="25"/>
      <c r="E33" s="48"/>
      <c r="F33" s="48"/>
      <c r="G33" s="49"/>
      <c r="H33" s="50"/>
      <c r="I33" s="24"/>
      <c r="J33" s="24"/>
      <c r="K33" s="75"/>
      <c r="L33" s="76"/>
      <c r="M33" s="77"/>
      <c r="N33" s="76"/>
    </row>
  </sheetData>
  <mergeCells count="64">
    <mergeCell ref="A1:L1"/>
    <mergeCell ref="M1:O1"/>
    <mergeCell ref="P1:R1"/>
    <mergeCell ref="A12:P12"/>
    <mergeCell ref="A26:B26"/>
    <mergeCell ref="G26:H26"/>
    <mergeCell ref="K26:L26"/>
    <mergeCell ref="M26:N26"/>
    <mergeCell ref="A2:A4"/>
    <mergeCell ref="A5:A11"/>
    <mergeCell ref="A13:A15"/>
    <mergeCell ref="A16:A22"/>
    <mergeCell ref="B2:B4"/>
    <mergeCell ref="B5:B11"/>
    <mergeCell ref="B13:B15"/>
    <mergeCell ref="B16:B22"/>
    <mergeCell ref="C2:C4"/>
    <mergeCell ref="C5:C11"/>
    <mergeCell ref="C13:C15"/>
    <mergeCell ref="C16:C22"/>
    <mergeCell ref="C27:C33"/>
    <mergeCell ref="D2:D4"/>
    <mergeCell ref="D5:D11"/>
    <mergeCell ref="D13:D15"/>
    <mergeCell ref="D16:D22"/>
    <mergeCell ref="D27:D33"/>
    <mergeCell ref="E2:E4"/>
    <mergeCell ref="E5:E11"/>
    <mergeCell ref="E13:E15"/>
    <mergeCell ref="E16:E22"/>
    <mergeCell ref="E27:E33"/>
    <mergeCell ref="F2:F4"/>
    <mergeCell ref="F5:F11"/>
    <mergeCell ref="F13:F15"/>
    <mergeCell ref="F16:F22"/>
    <mergeCell ref="F27:F33"/>
    <mergeCell ref="G5:G11"/>
    <mergeCell ref="G16:G22"/>
    <mergeCell ref="H5:H11"/>
    <mergeCell ref="H16:H22"/>
    <mergeCell ref="I2:I4"/>
    <mergeCell ref="I5:I10"/>
    <mergeCell ref="I13:I15"/>
    <mergeCell ref="I16:I21"/>
    <mergeCell ref="I27:I33"/>
    <mergeCell ref="J2:J4"/>
    <mergeCell ref="J13:J15"/>
    <mergeCell ref="J27:J33"/>
    <mergeCell ref="M2:M4"/>
    <mergeCell ref="M13:M15"/>
    <mergeCell ref="Q2:Q3"/>
    <mergeCell ref="Q13:Q14"/>
    <mergeCell ref="R2:R3"/>
    <mergeCell ref="R13:R14"/>
    <mergeCell ref="G2:H4"/>
    <mergeCell ref="K2:L3"/>
    <mergeCell ref="N2:P3"/>
    <mergeCell ref="G13:H15"/>
    <mergeCell ref="K13:L14"/>
    <mergeCell ref="N13:P14"/>
    <mergeCell ref="A27:B33"/>
    <mergeCell ref="G27:H33"/>
    <mergeCell ref="K27:L33"/>
    <mergeCell ref="M27:N33"/>
  </mergeCells>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18</vt:i4>
      </vt:variant>
    </vt:vector>
  </HeadingPairs>
  <TitlesOfParts>
    <vt:vector size="18" baseType="lpstr">
      <vt:lpstr>NJ-BS-LL-SS25</vt:lpstr>
      <vt:lpstr>NJ-BS-NS-SS25</vt:lpstr>
      <vt:lpstr>NJ-BS-SL-SS25</vt:lpstr>
      <vt:lpstr>NJ-BS-SS-SS25</vt:lpstr>
      <vt:lpstr>NJ-BS-SL-AW25</vt:lpstr>
      <vt:lpstr>NJ-LG-SL-AW25</vt:lpstr>
      <vt:lpstr>NJ-BR-SY-AW25</vt:lpstr>
      <vt:lpstr>NJ-LG-RG-SS25</vt:lpstr>
      <vt:lpstr>NJ-LG-WP-SS25</vt:lpstr>
      <vt:lpstr>NJ-LG-SH-SS25</vt:lpstr>
      <vt:lpstr>NJ-TS-CL-SS25</vt:lpstr>
      <vt:lpstr>NJ-TS-CS-SS25</vt:lpstr>
      <vt:lpstr>NJ-TS-SL-SS25</vt:lpstr>
      <vt:lpstr>NJ-TS-TT-SS25</vt:lpstr>
      <vt:lpstr>NJ-SL-JS-SS25</vt:lpstr>
      <vt:lpstr>NJ-SL-ZJ-SS25</vt:lpstr>
      <vt:lpstr>NJ-DS-LS-SS25</vt:lpstr>
      <vt:lpstr>NJ-RM-RG-SS25</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guopeizhao</dc:creator>
  <cp:lastModifiedBy>guopeizhao</cp:lastModifiedBy>
  <dcterms:created xsi:type="dcterms:W3CDTF">2025-11-04T08:12:43Z</dcterms:created>
  <dcterms:modified xsi:type="dcterms:W3CDTF">2025-11-04T08:12:44Z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048A6D36139E4C788AA22E946D231EFC_11</vt:lpwstr>
  </property>
  <property fmtid="{D5CDD505-2E9C-101B-9397-08002B2CF9AE}" pid="3" name="KSOProductBuildVer">
    <vt:lpwstr>2052-12.1.0.23125</vt:lpwstr>
  </property>
</Properties>
</file>