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Kerogen/LiteratureReview/model/"/>
    </mc:Choice>
  </mc:AlternateContent>
  <xr:revisionPtr revIDLastSave="0" documentId="13_ncr:1_{9B25F826-D1F9-114B-9BDA-6157A81DE21F}" xr6:coauthVersionLast="47" xr6:coauthVersionMax="47" xr10:uidLastSave="{00000000-0000-0000-0000-000000000000}"/>
  <bookViews>
    <workbookView xWindow="5560" yWindow="760" windowWidth="24680" windowHeight="18820" xr2:uid="{416BBEA3-AA9E-42AC-8860-0CDDCA5830B5}"/>
  </bookViews>
  <sheets>
    <sheet name="Diagenesis" sheetId="1" r:id="rId1"/>
    <sheet name="Catagenesis " sheetId="2" r:id="rId2"/>
    <sheet name="metagenesis " sheetId="3" r:id="rId3"/>
    <sheet name="desMara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1" i="2"/>
  <c r="C15" i="2"/>
  <c r="B12" i="4"/>
  <c r="F19" i="1" l="1"/>
  <c r="F18" i="1"/>
  <c r="B5" i="1"/>
  <c r="H67" i="1"/>
  <c r="B17" i="1"/>
  <c r="E17" i="1"/>
  <c r="B10" i="2"/>
  <c r="C21" i="2" s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C4" i="3" l="1"/>
  <c r="D4" i="3" s="1"/>
  <c r="C58" i="2"/>
  <c r="C59" i="2"/>
  <c r="C60" i="2"/>
  <c r="C75" i="2"/>
  <c r="C91" i="2"/>
  <c r="C23" i="2"/>
  <c r="C28" i="2"/>
  <c r="C30" i="2"/>
  <c r="C31" i="2"/>
  <c r="C34" i="2"/>
  <c r="C36" i="2"/>
  <c r="C38" i="2"/>
  <c r="C39" i="2"/>
  <c r="C44" i="2"/>
  <c r="C46" i="2"/>
  <c r="C47" i="2"/>
  <c r="C54" i="2"/>
  <c r="C55" i="2"/>
  <c r="C62" i="2"/>
  <c r="C63" i="2"/>
  <c r="C67" i="2"/>
  <c r="C68" i="2"/>
  <c r="C70" i="2"/>
  <c r="C71" i="2"/>
  <c r="C78" i="2"/>
  <c r="C79" i="2"/>
  <c r="C86" i="2"/>
  <c r="C87" i="2"/>
  <c r="C35" i="2"/>
  <c r="H7" i="2"/>
  <c r="H2" i="2"/>
  <c r="H3" i="2" s="1"/>
  <c r="D2" i="2"/>
  <c r="C2" i="2"/>
  <c r="B2" i="2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C11" i="1"/>
  <c r="C10" i="1"/>
  <c r="C17" i="1" s="1"/>
  <c r="D17" i="1" s="1"/>
  <c r="C42" i="2" l="1"/>
  <c r="C90" i="2"/>
  <c r="C50" i="2"/>
  <c r="C74" i="2"/>
  <c r="C27" i="2"/>
  <c r="C89" i="2"/>
  <c r="C81" i="2"/>
  <c r="C73" i="2"/>
  <c r="C65" i="2"/>
  <c r="C57" i="2"/>
  <c r="C49" i="2"/>
  <c r="C41" i="2"/>
  <c r="C33" i="2"/>
  <c r="C25" i="2"/>
  <c r="C82" i="2"/>
  <c r="C51" i="2"/>
  <c r="C26" i="2"/>
  <c r="C83" i="2"/>
  <c r="C52" i="2"/>
  <c r="C22" i="2"/>
  <c r="C88" i="2"/>
  <c r="C80" i="2"/>
  <c r="C72" i="2"/>
  <c r="C64" i="2"/>
  <c r="C56" i="2"/>
  <c r="C48" i="2"/>
  <c r="C40" i="2"/>
  <c r="C32" i="2"/>
  <c r="C24" i="2"/>
  <c r="C76" i="2"/>
  <c r="C29" i="2"/>
  <c r="C84" i="2"/>
  <c r="C66" i="2"/>
  <c r="C43" i="2"/>
  <c r="C85" i="2"/>
  <c r="C77" i="2"/>
  <c r="C69" i="2"/>
  <c r="C61" i="2"/>
  <c r="C53" i="2"/>
  <c r="C45" i="2"/>
  <c r="C37" i="2"/>
  <c r="D11" i="1"/>
  <c r="D10" i="1"/>
  <c r="G7" i="1" l="1"/>
  <c r="G6" i="1"/>
  <c r="G2" i="1"/>
  <c r="D4" i="1"/>
  <c r="D5" i="1" s="1"/>
  <c r="B4" i="1"/>
  <c r="F17" i="1" l="1"/>
  <c r="G17" i="1" s="1"/>
  <c r="H17" i="1" s="1"/>
  <c r="G3" i="1"/>
  <c r="C23" i="1"/>
  <c r="D23" i="1" s="1"/>
  <c r="F23" i="1" s="1"/>
  <c r="G23" i="1" s="1"/>
  <c r="H23" i="1" s="1"/>
  <c r="C31" i="1"/>
  <c r="D31" i="1" s="1"/>
  <c r="F31" i="1" s="1"/>
  <c r="G31" i="1" s="1"/>
  <c r="H31" i="1" s="1"/>
  <c r="C39" i="1"/>
  <c r="D39" i="1" s="1"/>
  <c r="F39" i="1" s="1"/>
  <c r="G39" i="1" s="1"/>
  <c r="H39" i="1" s="1"/>
  <c r="C47" i="1"/>
  <c r="D47" i="1" s="1"/>
  <c r="F47" i="1" s="1"/>
  <c r="G47" i="1" s="1"/>
  <c r="H47" i="1" s="1"/>
  <c r="C55" i="1"/>
  <c r="D55" i="1" s="1"/>
  <c r="F55" i="1" s="1"/>
  <c r="G55" i="1" s="1"/>
  <c r="H55" i="1" s="1"/>
  <c r="C63" i="1"/>
  <c r="D63" i="1" s="1"/>
  <c r="F63" i="1" s="1"/>
  <c r="G63" i="1" s="1"/>
  <c r="H63" i="1" s="1"/>
  <c r="C24" i="1"/>
  <c r="D24" i="1" s="1"/>
  <c r="F24" i="1" s="1"/>
  <c r="G24" i="1" s="1"/>
  <c r="H24" i="1" s="1"/>
  <c r="C32" i="1"/>
  <c r="D32" i="1" s="1"/>
  <c r="F32" i="1" s="1"/>
  <c r="G32" i="1" s="1"/>
  <c r="H32" i="1" s="1"/>
  <c r="C40" i="1"/>
  <c r="D40" i="1" s="1"/>
  <c r="F40" i="1" s="1"/>
  <c r="G40" i="1" s="1"/>
  <c r="H40" i="1" s="1"/>
  <c r="C48" i="1"/>
  <c r="D48" i="1" s="1"/>
  <c r="F48" i="1" s="1"/>
  <c r="G48" i="1" s="1"/>
  <c r="H48" i="1" s="1"/>
  <c r="C56" i="1"/>
  <c r="D56" i="1" s="1"/>
  <c r="F56" i="1" s="1"/>
  <c r="G56" i="1" s="1"/>
  <c r="H56" i="1" s="1"/>
  <c r="C64" i="1"/>
  <c r="D64" i="1" s="1"/>
  <c r="F64" i="1" s="1"/>
  <c r="G64" i="1" s="1"/>
  <c r="H64" i="1" s="1"/>
  <c r="C25" i="1"/>
  <c r="D25" i="1" s="1"/>
  <c r="F25" i="1" s="1"/>
  <c r="G25" i="1" s="1"/>
  <c r="H25" i="1" s="1"/>
  <c r="C33" i="1"/>
  <c r="D33" i="1" s="1"/>
  <c r="F33" i="1" s="1"/>
  <c r="G33" i="1" s="1"/>
  <c r="H33" i="1" s="1"/>
  <c r="C41" i="1"/>
  <c r="D41" i="1" s="1"/>
  <c r="F41" i="1" s="1"/>
  <c r="G41" i="1" s="1"/>
  <c r="H41" i="1" s="1"/>
  <c r="C49" i="1"/>
  <c r="D49" i="1" s="1"/>
  <c r="F49" i="1" s="1"/>
  <c r="G49" i="1" s="1"/>
  <c r="H49" i="1" s="1"/>
  <c r="C57" i="1"/>
  <c r="D57" i="1" s="1"/>
  <c r="F57" i="1" s="1"/>
  <c r="G57" i="1" s="1"/>
  <c r="H57" i="1" s="1"/>
  <c r="C65" i="1"/>
  <c r="D65" i="1" s="1"/>
  <c r="F65" i="1" s="1"/>
  <c r="G65" i="1" s="1"/>
  <c r="H65" i="1" s="1"/>
  <c r="C18" i="1"/>
  <c r="D18" i="1" s="1"/>
  <c r="G18" i="1" s="1"/>
  <c r="H18" i="1" s="1"/>
  <c r="C62" i="1"/>
  <c r="D62" i="1" s="1"/>
  <c r="F62" i="1" s="1"/>
  <c r="G62" i="1" s="1"/>
  <c r="H62" i="1" s="1"/>
  <c r="C53" i="1"/>
  <c r="D53" i="1" s="1"/>
  <c r="F53" i="1" s="1"/>
  <c r="G53" i="1" s="1"/>
  <c r="H53" i="1" s="1"/>
  <c r="C43" i="1"/>
  <c r="D43" i="1" s="1"/>
  <c r="F43" i="1" s="1"/>
  <c r="G43" i="1" s="1"/>
  <c r="H43" i="1" s="1"/>
  <c r="C34" i="1"/>
  <c r="D34" i="1" s="1"/>
  <c r="F34" i="1" s="1"/>
  <c r="G34" i="1" s="1"/>
  <c r="H34" i="1" s="1"/>
  <c r="C29" i="1"/>
  <c r="D29" i="1" s="1"/>
  <c r="F29" i="1" s="1"/>
  <c r="G29" i="1" s="1"/>
  <c r="H29" i="1" s="1"/>
  <c r="C54" i="1"/>
  <c r="D54" i="1" s="1"/>
  <c r="F54" i="1" s="1"/>
  <c r="G54" i="1" s="1"/>
  <c r="H54" i="1" s="1"/>
  <c r="C45" i="1"/>
  <c r="D45" i="1" s="1"/>
  <c r="F45" i="1" s="1"/>
  <c r="G45" i="1" s="1"/>
  <c r="H45" i="1" s="1"/>
  <c r="C35" i="1"/>
  <c r="D35" i="1" s="1"/>
  <c r="F35" i="1" s="1"/>
  <c r="G35" i="1" s="1"/>
  <c r="H35" i="1" s="1"/>
  <c r="C26" i="1"/>
  <c r="D26" i="1" s="1"/>
  <c r="F26" i="1" s="1"/>
  <c r="G26" i="1" s="1"/>
  <c r="H26" i="1" s="1"/>
  <c r="C19" i="1"/>
  <c r="D19" i="1" s="1"/>
  <c r="G19" i="1" s="1"/>
  <c r="H19" i="1" s="1"/>
  <c r="C59" i="1"/>
  <c r="D59" i="1" s="1"/>
  <c r="F59" i="1" s="1"/>
  <c r="G59" i="1" s="1"/>
  <c r="H59" i="1" s="1"/>
  <c r="C60" i="1"/>
  <c r="D60" i="1" s="1"/>
  <c r="F60" i="1" s="1"/>
  <c r="G60" i="1" s="1"/>
  <c r="H60" i="1" s="1"/>
  <c r="C46" i="1"/>
  <c r="D46" i="1" s="1"/>
  <c r="F46" i="1" s="1"/>
  <c r="G46" i="1" s="1"/>
  <c r="H46" i="1" s="1"/>
  <c r="C37" i="1"/>
  <c r="D37" i="1" s="1"/>
  <c r="F37" i="1" s="1"/>
  <c r="G37" i="1" s="1"/>
  <c r="H37" i="1" s="1"/>
  <c r="C27" i="1"/>
  <c r="D27" i="1" s="1"/>
  <c r="F27" i="1" s="1"/>
  <c r="G27" i="1" s="1"/>
  <c r="H27" i="1" s="1"/>
  <c r="C52" i="1"/>
  <c r="D52" i="1" s="1"/>
  <c r="F52" i="1" s="1"/>
  <c r="G52" i="1" s="1"/>
  <c r="H52" i="1" s="1"/>
  <c r="C50" i="1"/>
  <c r="D50" i="1" s="1"/>
  <c r="F50" i="1" s="1"/>
  <c r="G50" i="1" s="1"/>
  <c r="H50" i="1" s="1"/>
  <c r="C44" i="1"/>
  <c r="D44" i="1" s="1"/>
  <c r="F44" i="1" s="1"/>
  <c r="G44" i="1" s="1"/>
  <c r="H44" i="1" s="1"/>
  <c r="C30" i="1"/>
  <c r="D30" i="1" s="1"/>
  <c r="F30" i="1" s="1"/>
  <c r="G30" i="1" s="1"/>
  <c r="H30" i="1" s="1"/>
  <c r="C21" i="1"/>
  <c r="D21" i="1" s="1"/>
  <c r="F21" i="1" s="1"/>
  <c r="G21" i="1" s="1"/>
  <c r="H21" i="1" s="1"/>
  <c r="C66" i="1"/>
  <c r="D66" i="1" s="1"/>
  <c r="F66" i="1" s="1"/>
  <c r="G66" i="1" s="1"/>
  <c r="H66" i="1" s="1"/>
  <c r="C36" i="1"/>
  <c r="D36" i="1" s="1"/>
  <c r="F36" i="1" s="1"/>
  <c r="G36" i="1" s="1"/>
  <c r="H36" i="1" s="1"/>
  <c r="C22" i="1"/>
  <c r="D22" i="1" s="1"/>
  <c r="F22" i="1" s="1"/>
  <c r="G22" i="1" s="1"/>
  <c r="H22" i="1" s="1"/>
  <c r="C67" i="1"/>
  <c r="D67" i="1" s="1"/>
  <c r="F67" i="1" s="1"/>
  <c r="G67" i="1" s="1"/>
  <c r="C58" i="1"/>
  <c r="D58" i="1" s="1"/>
  <c r="F58" i="1" s="1"/>
  <c r="G58" i="1" s="1"/>
  <c r="H58" i="1" s="1"/>
  <c r="C28" i="1"/>
  <c r="D28" i="1" s="1"/>
  <c r="F28" i="1" s="1"/>
  <c r="G28" i="1" s="1"/>
  <c r="H28" i="1" s="1"/>
  <c r="C20" i="1"/>
  <c r="D20" i="1" s="1"/>
  <c r="F20" i="1" s="1"/>
  <c r="G20" i="1" s="1"/>
  <c r="H20" i="1" s="1"/>
  <c r="C61" i="1"/>
  <c r="D61" i="1" s="1"/>
  <c r="F61" i="1" s="1"/>
  <c r="G61" i="1" s="1"/>
  <c r="H61" i="1" s="1"/>
  <c r="C51" i="1"/>
  <c r="D51" i="1" s="1"/>
  <c r="F51" i="1" s="1"/>
  <c r="G51" i="1" s="1"/>
  <c r="H51" i="1" s="1"/>
  <c r="C42" i="1"/>
  <c r="D42" i="1" s="1"/>
  <c r="F42" i="1" s="1"/>
  <c r="G42" i="1" s="1"/>
  <c r="H42" i="1" s="1"/>
  <c r="C38" i="1"/>
  <c r="D38" i="1" s="1"/>
  <c r="F38" i="1" s="1"/>
  <c r="G38" i="1" s="1"/>
  <c r="H38" i="1" s="1"/>
  <c r="D15" i="2" l="1"/>
  <c r="D22" i="2" s="1"/>
  <c r="D12" i="1"/>
  <c r="C12" i="1" s="1"/>
  <c r="B12" i="1" s="1"/>
  <c r="B18" i="1"/>
  <c r="B26" i="1"/>
  <c r="B34" i="1"/>
  <c r="B42" i="1"/>
  <c r="B50" i="1"/>
  <c r="B58" i="1"/>
  <c r="B66" i="1"/>
  <c r="B29" i="1"/>
  <c r="B38" i="1"/>
  <c r="B31" i="1"/>
  <c r="B40" i="1"/>
  <c r="B19" i="1"/>
  <c r="B27" i="1"/>
  <c r="B35" i="1"/>
  <c r="B43" i="1"/>
  <c r="B51" i="1"/>
  <c r="B59" i="1"/>
  <c r="B67" i="1"/>
  <c r="B37" i="1"/>
  <c r="B45" i="1"/>
  <c r="B53" i="1"/>
  <c r="B61" i="1"/>
  <c r="B22" i="1"/>
  <c r="B46" i="1"/>
  <c r="B54" i="1"/>
  <c r="B62" i="1"/>
  <c r="B23" i="1"/>
  <c r="B32" i="1"/>
  <c r="B20" i="1"/>
  <c r="B28" i="1"/>
  <c r="B36" i="1"/>
  <c r="B44" i="1"/>
  <c r="B52" i="1"/>
  <c r="B60" i="1"/>
  <c r="B21" i="1"/>
  <c r="B30" i="1"/>
  <c r="B39" i="1"/>
  <c r="B48" i="1"/>
  <c r="B47" i="1"/>
  <c r="B55" i="1"/>
  <c r="B63" i="1"/>
  <c r="B24" i="1"/>
  <c r="B56" i="1"/>
  <c r="B64" i="1"/>
  <c r="B25" i="1"/>
  <c r="B33" i="1"/>
  <c r="B41" i="1"/>
  <c r="B49" i="1"/>
  <c r="B57" i="1"/>
  <c r="B65" i="1"/>
  <c r="D70" i="2" l="1"/>
  <c r="E70" i="2" s="1"/>
  <c r="D88" i="2"/>
  <c r="E88" i="2" s="1"/>
  <c r="D74" i="2"/>
  <c r="E74" i="2" s="1"/>
  <c r="D52" i="2"/>
  <c r="E52" i="2" s="1"/>
  <c r="D23" i="2"/>
  <c r="E23" i="2" s="1"/>
  <c r="D87" i="2"/>
  <c r="E87" i="2" s="1"/>
  <c r="D49" i="2"/>
  <c r="E49" i="2" s="1"/>
  <c r="D27" i="2"/>
  <c r="E27" i="2" s="1"/>
  <c r="D37" i="2"/>
  <c r="E37" i="2" s="1"/>
  <c r="D89" i="2"/>
  <c r="E89" i="2" s="1"/>
  <c r="D38" i="2"/>
  <c r="E38" i="2" s="1"/>
  <c r="D29" i="2"/>
  <c r="E29" i="2" s="1"/>
  <c r="D64" i="2"/>
  <c r="E64" i="2" s="1"/>
  <c r="D28" i="2"/>
  <c r="E28" i="2" s="1"/>
  <c r="D46" i="2"/>
  <c r="E46" i="2" s="1"/>
  <c r="D45" i="2"/>
  <c r="E45" i="2" s="1"/>
  <c r="D80" i="2"/>
  <c r="E80" i="2" s="1"/>
  <c r="D44" i="2"/>
  <c r="E44" i="2" s="1"/>
  <c r="D42" i="2"/>
  <c r="E42" i="2" s="1"/>
  <c r="D69" i="2"/>
  <c r="E69" i="2" s="1"/>
  <c r="D66" i="2"/>
  <c r="E66" i="2" s="1"/>
  <c r="D62" i="2"/>
  <c r="E62" i="2" s="1"/>
  <c r="D85" i="2"/>
  <c r="E85" i="2" s="1"/>
  <c r="D25" i="2"/>
  <c r="E25" i="2" s="1"/>
  <c r="D78" i="2"/>
  <c r="E78" i="2" s="1"/>
  <c r="D33" i="2"/>
  <c r="E33" i="2" s="1"/>
  <c r="D90" i="2"/>
  <c r="E90" i="2" s="1"/>
  <c r="D60" i="2"/>
  <c r="E60" i="2" s="1"/>
  <c r="D31" i="2"/>
  <c r="E31" i="2" s="1"/>
  <c r="D57" i="2"/>
  <c r="E57" i="2" s="1"/>
  <c r="D51" i="2"/>
  <c r="E51" i="2" s="1"/>
  <c r="D53" i="2"/>
  <c r="E53" i="2" s="1"/>
  <c r="D81" i="2"/>
  <c r="E81" i="2" s="1"/>
  <c r="E15" i="2"/>
  <c r="D34" i="2"/>
  <c r="E34" i="2" s="1"/>
  <c r="D54" i="2"/>
  <c r="E54" i="2" s="1"/>
  <c r="D91" i="2"/>
  <c r="E91" i="2" s="1"/>
  <c r="B5" i="3" s="1"/>
  <c r="C5" i="3" s="1"/>
  <c r="D5" i="3" s="1"/>
  <c r="D21" i="2"/>
  <c r="E21" i="2" s="1"/>
  <c r="D58" i="2"/>
  <c r="E58" i="2" s="1"/>
  <c r="D82" i="2"/>
  <c r="E82" i="2" s="1"/>
  <c r="E22" i="2"/>
  <c r="D86" i="2"/>
  <c r="E86" i="2" s="1"/>
  <c r="D41" i="2"/>
  <c r="E41" i="2" s="1"/>
  <c r="D35" i="2"/>
  <c r="E35" i="2" s="1"/>
  <c r="D76" i="2"/>
  <c r="E76" i="2" s="1"/>
  <c r="D39" i="2"/>
  <c r="E39" i="2" s="1"/>
  <c r="D24" i="2"/>
  <c r="E24" i="2" s="1"/>
  <c r="D73" i="2"/>
  <c r="E73" i="2" s="1"/>
  <c r="D75" i="2"/>
  <c r="E75" i="2" s="1"/>
  <c r="D61" i="2"/>
  <c r="E61" i="2" s="1"/>
  <c r="D30" i="2"/>
  <c r="E30" i="2" s="1"/>
  <c r="D65" i="2"/>
  <c r="E65" i="2" s="1"/>
  <c r="D43" i="2"/>
  <c r="E43" i="2" s="1"/>
  <c r="D47" i="2"/>
  <c r="E47" i="2" s="1"/>
  <c r="D48" i="2"/>
  <c r="E48" i="2" s="1"/>
  <c r="D83" i="2"/>
  <c r="E83" i="2" s="1"/>
  <c r="D77" i="2"/>
  <c r="E77" i="2" s="1"/>
  <c r="D32" i="2"/>
  <c r="E32" i="2" s="1"/>
  <c r="D59" i="2"/>
  <c r="E59" i="2" s="1"/>
  <c r="D55" i="2"/>
  <c r="E55" i="2" s="1"/>
  <c r="D26" i="2"/>
  <c r="E26" i="2" s="1"/>
  <c r="D40" i="2"/>
  <c r="E40" i="2" s="1"/>
  <c r="D67" i="2"/>
  <c r="E67" i="2" s="1"/>
  <c r="D63" i="2"/>
  <c r="E63" i="2" s="1"/>
  <c r="D50" i="2"/>
  <c r="E50" i="2" s="1"/>
  <c r="D56" i="2"/>
  <c r="E56" i="2" s="1"/>
  <c r="D71" i="2"/>
  <c r="E71" i="2" s="1"/>
  <c r="D68" i="2"/>
  <c r="E68" i="2" s="1"/>
  <c r="D72" i="2"/>
  <c r="E72" i="2" s="1"/>
  <c r="D36" i="2"/>
  <c r="E36" i="2" s="1"/>
  <c r="D79" i="2"/>
  <c r="E79" i="2" s="1"/>
  <c r="D84" i="2"/>
  <c r="E84" i="2" s="1"/>
  <c r="B18" i="3" l="1"/>
  <c r="C18" i="3" s="1"/>
  <c r="D18" i="3" s="1"/>
  <c r="B10" i="3"/>
  <c r="C10" i="3" s="1"/>
  <c r="D10" i="3" s="1"/>
  <c r="B16" i="3"/>
  <c r="C16" i="3" s="1"/>
  <c r="D16" i="3" s="1"/>
  <c r="B8" i="3"/>
  <c r="C8" i="3" s="1"/>
  <c r="D8" i="3" s="1"/>
  <c r="B11" i="3"/>
  <c r="C11" i="3" s="1"/>
  <c r="D11" i="3" s="1"/>
  <c r="B17" i="3"/>
  <c r="C17" i="3" s="1"/>
  <c r="D17" i="3" s="1"/>
  <c r="B9" i="3"/>
  <c r="C9" i="3" s="1"/>
  <c r="D9" i="3" s="1"/>
  <c r="B14" i="3"/>
  <c r="C14" i="3" s="1"/>
  <c r="D14" i="3" s="1"/>
  <c r="B12" i="3"/>
  <c r="C12" i="3" s="1"/>
  <c r="D12" i="3" s="1"/>
  <c r="B13" i="3"/>
  <c r="C13" i="3" s="1"/>
  <c r="D13" i="3" s="1"/>
  <c r="B15" i="3"/>
  <c r="C15" i="3" s="1"/>
  <c r="D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tc={1EF60182-11B8-44B3-9D6E-29EEA471DDB2}</author>
  </authors>
  <commentList>
    <comment ref="D5" authorId="0" shapeId="0" xr:uid="{1EF60182-11B8-44B3-9D6E-29EEA471DD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Wu et al., 2004
</t>
      </text>
    </comment>
  </commentList>
</comments>
</file>

<file path=xl/sharedStrings.xml><?xml version="1.0" encoding="utf-8"?>
<sst xmlns="http://schemas.openxmlformats.org/spreadsheetml/2006/main" count="80" uniqueCount="69">
  <si>
    <t>DIAGENESIS</t>
  </si>
  <si>
    <t>O/C ratio</t>
  </si>
  <si>
    <t>relative amount in rock record</t>
  </si>
  <si>
    <t>N/C ratio</t>
  </si>
  <si>
    <t>sugar</t>
  </si>
  <si>
    <t>lipid</t>
  </si>
  <si>
    <t>protein</t>
  </si>
  <si>
    <t>weighted starting average O/C</t>
  </si>
  <si>
    <t>weighted N/C ratio</t>
  </si>
  <si>
    <t>carbons for a modeled acid</t>
  </si>
  <si>
    <t>d13C (pdb)</t>
  </si>
  <si>
    <t>13R</t>
  </si>
  <si>
    <t>13F</t>
  </si>
  <si>
    <t>pdb</t>
  </si>
  <si>
    <t>initial carboxyl C isotope ratio</t>
  </si>
  <si>
    <t>initial alkane C isotope ratio</t>
  </si>
  <si>
    <t>average initial isotope ratio</t>
  </si>
  <si>
    <t>KIE (alpha, k12/k13)</t>
  </si>
  <si>
    <t>leaving C</t>
  </si>
  <si>
    <t>staying C</t>
  </si>
  <si>
    <t>ALPHA:</t>
  </si>
  <si>
    <t>UNCATALYZED</t>
  </si>
  <si>
    <t>CATALYZED</t>
  </si>
  <si>
    <t>from Monson and Hayes</t>
  </si>
  <si>
    <t>* use different values for the different relative contributions of sugar/lipid/protein</t>
  </si>
  <si>
    <t>moles unreacted</t>
  </si>
  <si>
    <t>O/C ratio (accounting for 2:1 loss)</t>
  </si>
  <si>
    <t>model step amount</t>
  </si>
  <si>
    <t>F carboxyl carbon (remaining)</t>
  </si>
  <si>
    <t>F total carbons (acids+alkanes)</t>
  </si>
  <si>
    <t>R total carbons (acids+alkanes)</t>
  </si>
  <si>
    <t>R carboxyl carbon remaining</t>
  </si>
  <si>
    <t>fraction of carboxyl carbons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</si>
  <si>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  (acids+alkanes)</t>
    </r>
  </si>
  <si>
    <t>CATAGENESIS</t>
  </si>
  <si>
    <t>number of H</t>
  </si>
  <si>
    <t>number of C</t>
  </si>
  <si>
    <t>H/C ratio</t>
  </si>
  <si>
    <t>methane</t>
  </si>
  <si>
    <t>average carbons removed from system per cracking reaction</t>
  </si>
  <si>
    <t>hydrogens per gas</t>
  </si>
  <si>
    <t>ALPHAS:</t>
  </si>
  <si>
    <t>starting H/C ratio</t>
  </si>
  <si>
    <t>Xie et al., 2021</t>
  </si>
  <si>
    <t>ending H/C ratio</t>
  </si>
  <si>
    <t>k*/k from Tang et al., 2000</t>
  </si>
  <si>
    <t xml:space="preserve">numer of carbons to start with </t>
  </si>
  <si>
    <t>(assume we are taking the same pool of C from the last step of diagenesis)</t>
  </si>
  <si>
    <t>number of hydrogens to start with</t>
  </si>
  <si>
    <t>initial C isotope ratio</t>
  </si>
  <si>
    <t>carbons reacted</t>
  </si>
  <si>
    <t>carbons remaining</t>
  </si>
  <si>
    <t>H/C</t>
  </si>
  <si>
    <t>13R remaining carbons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</si>
  <si>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  remaining carbons</t>
    </r>
  </si>
  <si>
    <t>METAGENESIS</t>
  </si>
  <si>
    <t>R value</t>
  </si>
  <si>
    <t>F value</t>
  </si>
  <si>
    <t>starting composition - kerogen</t>
  </si>
  <si>
    <t>% of original carbon in rock unreacted</t>
  </si>
  <si>
    <t>F</t>
  </si>
  <si>
    <t>R</t>
  </si>
  <si>
    <t>delta</t>
  </si>
  <si>
    <t xml:space="preserve">DIC composition </t>
  </si>
  <si>
    <t>Replotted data from Des Marais 1997</t>
  </si>
  <si>
    <t>2.1-1Gya</t>
  </si>
  <si>
    <t>d13C</t>
  </si>
  <si>
    <t>1-0.6Gya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</si>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</sst>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8" tint="0.7999816888943144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67">
    <xf numFmtId="0" fontId="0" fillId="0" borderId="0" xfId="0"/>
    <xf numFmtId="0" fontId="2" fillId="0" borderId="1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2" applyFill="1" applyAlignment="1">
      <alignment horizontal="center" vertical="center"/>
    </xf>
    <xf numFmtId="0" fontId="3" fillId="5" borderId="2" xfId="2" applyFill="1" applyAlignment="1">
      <alignment horizontal="center" vertical="center" wrapText="1"/>
    </xf>
    <xf numFmtId="0" fontId="7" fillId="3" borderId="2" xfId="3" applyFont="1" applyAlignment="1">
      <alignment horizontal="center" vertical="center"/>
    </xf>
    <xf numFmtId="0" fontId="3" fillId="6" borderId="2" xfId="2" applyFill="1" applyAlignment="1">
      <alignment horizontal="center" vertical="center"/>
    </xf>
    <xf numFmtId="0" fontId="8" fillId="6" borderId="2" xfId="2" applyFont="1" applyFill="1" applyAlignment="1">
      <alignment horizontal="center" vertical="center"/>
    </xf>
    <xf numFmtId="0" fontId="3" fillId="7" borderId="2" xfId="2" applyFill="1" applyAlignment="1">
      <alignment horizontal="center" vertical="center"/>
    </xf>
    <xf numFmtId="0" fontId="8" fillId="7" borderId="2" xfId="2" applyFont="1" applyFill="1" applyAlignment="1">
      <alignment horizontal="center" vertical="center"/>
    </xf>
    <xf numFmtId="0" fontId="3" fillId="7" borderId="2" xfId="2" applyNumberFormat="1" applyFill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8" borderId="3" xfId="3" applyFont="1" applyFill="1" applyBorder="1" applyAlignment="1">
      <alignment horizontal="center"/>
    </xf>
    <xf numFmtId="0" fontId="7" fillId="8" borderId="3" xfId="3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0" fillId="2" borderId="2" xfId="2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/>
    <xf numFmtId="166" fontId="3" fillId="6" borderId="2" xfId="2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9" borderId="0" xfId="0" applyNumberFormat="1" applyFill="1"/>
    <xf numFmtId="0" fontId="6" fillId="0" borderId="0" xfId="0" applyFont="1"/>
    <xf numFmtId="0" fontId="3" fillId="8" borderId="2" xfId="2" applyFill="1" applyAlignment="1">
      <alignment horizontal="center" vertical="center"/>
    </xf>
    <xf numFmtId="0" fontId="8" fillId="8" borderId="2" xfId="2" applyFont="1" applyFill="1" applyAlignment="1">
      <alignment horizontal="center" vertical="center"/>
    </xf>
    <xf numFmtId="0" fontId="3" fillId="5" borderId="2" xfId="2" applyFill="1" applyAlignment="1">
      <alignment horizontal="center"/>
    </xf>
    <xf numFmtId="0" fontId="3" fillId="8" borderId="2" xfId="2" applyNumberForma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4" fillId="8" borderId="3" xfId="3" applyFill="1" applyBorder="1"/>
    <xf numFmtId="0" fontId="12" fillId="0" borderId="3" xfId="0" applyFont="1" applyBorder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4" borderId="0" xfId="4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4" borderId="0" xfId="4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4" borderId="0" xfId="4" applyNumberFormat="1" applyAlignment="1">
      <alignment horizontal="center" vertical="center"/>
    </xf>
    <xf numFmtId="165" fontId="0" fillId="9" borderId="0" xfId="0" applyNumberFormat="1" applyFill="1" applyAlignment="1">
      <alignment horizontal="center"/>
    </xf>
    <xf numFmtId="167" fontId="0" fillId="9" borderId="0" xfId="0" applyNumberFormat="1" applyFill="1"/>
    <xf numFmtId="0" fontId="0" fillId="9" borderId="0" xfId="0" applyFill="1"/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66" fontId="3" fillId="2" borderId="2" xfId="2" applyNumberFormat="1" applyAlignment="1">
      <alignment horizontal="center"/>
    </xf>
    <xf numFmtId="168" fontId="3" fillId="6" borderId="2" xfId="2" applyNumberFormat="1" applyFill="1" applyAlignment="1">
      <alignment horizontal="center" vertical="center"/>
    </xf>
    <xf numFmtId="2" fontId="1" fillId="9" borderId="0" xfId="4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2" fontId="0" fillId="9" borderId="0" xfId="0" applyNumberFormat="1" applyFill="1"/>
    <xf numFmtId="2" fontId="6" fillId="9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20% - Accent5" xfId="4" builtinId="46"/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AC1B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Diagenesis!$B$17:$B$67</c:f>
              <c:numCache>
                <c:formatCode>0.000</c:formatCode>
                <c:ptCount val="51"/>
                <c:pt idx="0">
                  <c:v>0.2</c:v>
                </c:pt>
                <c:pt idx="1">
                  <c:v>0.1981981981981982</c:v>
                </c:pt>
                <c:pt idx="2">
                  <c:v>0.19639278557114226</c:v>
                </c:pt>
                <c:pt idx="3">
                  <c:v>0.19458375125376129</c:v>
                </c:pt>
                <c:pt idx="4">
                  <c:v>0.19277108433734938</c:v>
                </c:pt>
                <c:pt idx="5">
                  <c:v>0.1909547738693467</c:v>
                </c:pt>
                <c:pt idx="6">
                  <c:v>0.1891348088531187</c:v>
                </c:pt>
                <c:pt idx="7">
                  <c:v>0.18731117824773416</c:v>
                </c:pt>
                <c:pt idx="8">
                  <c:v>0.18548387096774194</c:v>
                </c:pt>
                <c:pt idx="9">
                  <c:v>0.18365287588294651</c:v>
                </c:pt>
                <c:pt idx="10">
                  <c:v>0.18181818181818182</c:v>
                </c:pt>
                <c:pt idx="11">
                  <c:v>0.17997977755308392</c:v>
                </c:pt>
                <c:pt idx="12">
                  <c:v>0.17813765182186234</c:v>
                </c:pt>
                <c:pt idx="13">
                  <c:v>0.17629179331306993</c:v>
                </c:pt>
                <c:pt idx="14">
                  <c:v>0.17444219066937119</c:v>
                </c:pt>
                <c:pt idx="15">
                  <c:v>0.17258883248730963</c:v>
                </c:pt>
                <c:pt idx="16">
                  <c:v>0.17073170731707316</c:v>
                </c:pt>
                <c:pt idx="17">
                  <c:v>0.1688708036622584</c:v>
                </c:pt>
                <c:pt idx="18">
                  <c:v>0.16700610997963339</c:v>
                </c:pt>
                <c:pt idx="19">
                  <c:v>0.16513761467889909</c:v>
                </c:pt>
                <c:pt idx="20">
                  <c:v>0.16326530612244899</c:v>
                </c:pt>
                <c:pt idx="21">
                  <c:v>0.1613891726251277</c:v>
                </c:pt>
                <c:pt idx="22">
                  <c:v>0.15950920245398773</c:v>
                </c:pt>
                <c:pt idx="23">
                  <c:v>0.15762538382804506</c:v>
                </c:pt>
                <c:pt idx="24">
                  <c:v>0.15573770491803279</c:v>
                </c:pt>
                <c:pt idx="25">
                  <c:v>0.15384615384615385</c:v>
                </c:pt>
                <c:pt idx="26">
                  <c:v>0.15195071868583163</c:v>
                </c:pt>
                <c:pt idx="27">
                  <c:v>0.15005138746145941</c:v>
                </c:pt>
                <c:pt idx="28">
                  <c:v>0.14814814814814817</c:v>
                </c:pt>
                <c:pt idx="29">
                  <c:v>0.1462409886714727</c:v>
                </c:pt>
                <c:pt idx="30">
                  <c:v>0.14432989690721651</c:v>
                </c:pt>
                <c:pt idx="31">
                  <c:v>0.14241486068111456</c:v>
                </c:pt>
                <c:pt idx="32">
                  <c:v>0.14049586776859505</c:v>
                </c:pt>
                <c:pt idx="33">
                  <c:v>0.13857290589451915</c:v>
                </c:pt>
                <c:pt idx="34">
                  <c:v>0.13664596273291926</c:v>
                </c:pt>
                <c:pt idx="35">
                  <c:v>0.13471502590673576</c:v>
                </c:pt>
                <c:pt idx="36">
                  <c:v>0.13278008298755187</c:v>
                </c:pt>
                <c:pt idx="37">
                  <c:v>0.13084112149532712</c:v>
                </c:pt>
                <c:pt idx="38">
                  <c:v>0.12889812889812888</c:v>
                </c:pt>
                <c:pt idx="39">
                  <c:v>0.12695109261186266</c:v>
                </c:pt>
                <c:pt idx="40">
                  <c:v>0.125</c:v>
                </c:pt>
                <c:pt idx="41">
                  <c:v>0.12304483837330552</c:v>
                </c:pt>
                <c:pt idx="42">
                  <c:v>0.12108559498956158</c:v>
                </c:pt>
                <c:pt idx="43">
                  <c:v>0.11912225705329152</c:v>
                </c:pt>
                <c:pt idx="44">
                  <c:v>0.11715481171548117</c:v>
                </c:pt>
                <c:pt idx="45">
                  <c:v>0.11518324607329843</c:v>
                </c:pt>
                <c:pt idx="46">
                  <c:v>0.11320754716981134</c:v>
                </c:pt>
                <c:pt idx="47">
                  <c:v>0.11122770199370409</c:v>
                </c:pt>
                <c:pt idx="48">
                  <c:v>0.10924369747899161</c:v>
                </c:pt>
                <c:pt idx="49">
                  <c:v>0.10725552050473186</c:v>
                </c:pt>
                <c:pt idx="50">
                  <c:v>0.10526315789473684</c:v>
                </c:pt>
              </c:numCache>
            </c:numRef>
          </c:xVal>
          <c:yVal>
            <c:numRef>
              <c:f>Diagenesis!$H$17:$H$67</c:f>
              <c:numCache>
                <c:formatCode>0.00</c:formatCode>
                <c:ptCount val="51"/>
                <c:pt idx="0">
                  <c:v>-34.600573260843206</c:v>
                </c:pt>
                <c:pt idx="1">
                  <c:v>-34.593567884427024</c:v>
                </c:pt>
                <c:pt idx="2">
                  <c:v>-34.58683109096539</c:v>
                </c:pt>
                <c:pt idx="3">
                  <c:v>-34.580366658389707</c:v>
                </c:pt>
                <c:pt idx="4">
                  <c:v>-34.574178441975633</c:v>
                </c:pt>
                <c:pt idx="5">
                  <c:v>-34.568270376698962</c:v>
                </c:pt>
                <c:pt idx="6">
                  <c:v>-34.562646479682769</c:v>
                </c:pt>
                <c:pt idx="7">
                  <c:v>-34.55731085275071</c:v>
                </c:pt>
                <c:pt idx="8">
                  <c:v>-34.552267685088566</c:v>
                </c:pt>
                <c:pt idx="9">
                  <c:v>-34.547521256018676</c:v>
                </c:pt>
                <c:pt idx="10">
                  <c:v>-34.543075937894628</c:v>
                </c:pt>
                <c:pt idx="11">
                  <c:v>-34.538936199124734</c:v>
                </c:pt>
                <c:pt idx="12">
                  <c:v>-34.535106607327172</c:v>
                </c:pt>
                <c:pt idx="13">
                  <c:v>-34.531591832627662</c:v>
                </c:pt>
                <c:pt idx="14">
                  <c:v>-34.528396651107521</c:v>
                </c:pt>
                <c:pt idx="15">
                  <c:v>-34.525525948409182</c:v>
                </c:pt>
                <c:pt idx="16">
                  <c:v>-34.522984723508564</c:v>
                </c:pt>
                <c:pt idx="17">
                  <c:v>-34.520778092666738</c:v>
                </c:pt>
                <c:pt idx="18">
                  <c:v>-34.518911293568763</c:v>
                </c:pt>
                <c:pt idx="19">
                  <c:v>-34.517389689661449</c:v>
                </c:pt>
                <c:pt idx="20">
                  <c:v>-34.516218774704008</c:v>
                </c:pt>
                <c:pt idx="21">
                  <c:v>-34.515404177543843</c:v>
                </c:pt>
                <c:pt idx="22">
                  <c:v>-34.514951667129253</c:v>
                </c:pt>
                <c:pt idx="23">
                  <c:v>-34.514867157779847</c:v>
                </c:pt>
                <c:pt idx="24">
                  <c:v>-34.515156714724604</c:v>
                </c:pt>
                <c:pt idx="25">
                  <c:v>-34.515826559931348</c:v>
                </c:pt>
                <c:pt idx="26">
                  <c:v>-34.516883078241634</c:v>
                </c:pt>
                <c:pt idx="27">
                  <c:v>-34.518332823835095</c:v>
                </c:pt>
                <c:pt idx="28">
                  <c:v>-34.520182527045804</c:v>
                </c:pt>
                <c:pt idx="29">
                  <c:v>-34.522439101551505</c:v>
                </c:pt>
                <c:pt idx="30">
                  <c:v>-34.525109651965536</c:v>
                </c:pt>
                <c:pt idx="31">
                  <c:v>-34.528201481859199</c:v>
                </c:pt>
                <c:pt idx="32">
                  <c:v>-34.531722102244863</c:v>
                </c:pt>
                <c:pt idx="33">
                  <c:v>-34.535679240552788</c:v>
                </c:pt>
                <c:pt idx="34">
                  <c:v>-34.540080850143262</c:v>
                </c:pt>
                <c:pt idx="35">
                  <c:v>-34.544935120385254</c:v>
                </c:pt>
                <c:pt idx="36">
                  <c:v>-34.550250487356159</c:v>
                </c:pt>
                <c:pt idx="37">
                  <c:v>-34.556035645202485</c:v>
                </c:pt>
                <c:pt idx="38">
                  <c:v>-34.562299558217433</c:v>
                </c:pt>
                <c:pt idx="39">
                  <c:v>-34.569051473691935</c:v>
                </c:pt>
                <c:pt idx="40">
                  <c:v>-34.576300935605595</c:v>
                </c:pt>
                <c:pt idx="41">
                  <c:v>-34.584057799221135</c:v>
                </c:pt>
                <c:pt idx="42">
                  <c:v>-34.592332246664689</c:v>
                </c:pt>
                <c:pt idx="43">
                  <c:v>-34.601134803574737</c:v>
                </c:pt>
                <c:pt idx="44">
                  <c:v>-34.610476356911946</c:v>
                </c:pt>
                <c:pt idx="45">
                  <c:v>-34.620368174035022</c:v>
                </c:pt>
                <c:pt idx="46">
                  <c:v>-34.630821923158472</c:v>
                </c:pt>
                <c:pt idx="47">
                  <c:v>-34.641849695315919</c:v>
                </c:pt>
                <c:pt idx="48">
                  <c:v>-34.653464027976753</c:v>
                </c:pt>
                <c:pt idx="49">
                  <c:v>-34.665677930470821</c:v>
                </c:pt>
                <c:pt idx="50">
                  <c:v>-34.678504911399457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2-4FBB-BE36-C1852D30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34495"/>
        <c:axId val="838832095"/>
      </c:scatterChart>
      <c:valAx>
        <c:axId val="838834495"/>
        <c:scaling>
          <c:orientation val="minMax"/>
          <c:max val="0.22"/>
          <c:min val="0.08"/>
        </c:scaling>
        <c:delete val="0"/>
        <c:axPos val="b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38832095"/>
        <c:crossesAt val="-34.75"/>
        <c:crossBetween val="midCat"/>
        <c:majorUnit val="0.02"/>
        <c:minorUnit val="0.01"/>
      </c:valAx>
      <c:valAx>
        <c:axId val="8388320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3883449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23208984122883E-2"/>
          <c:y val="3.38123415046492E-2"/>
          <c:w val="0.86291116561249515"/>
          <c:h val="0.87944196324571855"/>
        </c:manualLayout>
      </c:layout>
      <c:scatterChart>
        <c:scatterStyle val="lineMarker"/>
        <c:varyColors val="0"/>
        <c:ser>
          <c:idx val="0"/>
          <c:order val="0"/>
          <c:tx>
            <c:v>This study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sq" cmpd="sng">
                <a:solidFill>
                  <a:srgbClr val="AC1BA7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984633826848991"/>
                  <c:y val="-0.17171397953953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'Catagenesis '!$C$21:$C$95</c:f>
              <c:numCache>
                <c:formatCode>0.0000</c:formatCode>
                <c:ptCount val="75"/>
                <c:pt idx="0">
                  <c:v>1.2</c:v>
                </c:pt>
                <c:pt idx="1">
                  <c:v>1.1887550200803212</c:v>
                </c:pt>
                <c:pt idx="2">
                  <c:v>1.1774193548387097</c:v>
                </c:pt>
                <c:pt idx="3">
                  <c:v>1.165991902834008</c:v>
                </c:pt>
                <c:pt idx="4">
                  <c:v>1.1544715447154472</c:v>
                </c:pt>
                <c:pt idx="5">
                  <c:v>1.1428571428571428</c:v>
                </c:pt>
                <c:pt idx="6">
                  <c:v>1.1311475409836065</c:v>
                </c:pt>
                <c:pt idx="7">
                  <c:v>1.1193415637860082</c:v>
                </c:pt>
                <c:pt idx="8">
                  <c:v>1.1074380165289257</c:v>
                </c:pt>
                <c:pt idx="9">
                  <c:v>1.095435684647303</c:v>
                </c:pt>
                <c:pt idx="10">
                  <c:v>1.0833333333333333</c:v>
                </c:pt>
                <c:pt idx="11">
                  <c:v>1.0711297071129706</c:v>
                </c:pt>
                <c:pt idx="12">
                  <c:v>1.0588235294117647</c:v>
                </c:pt>
                <c:pt idx="13">
                  <c:v>1.0464135021097047</c:v>
                </c:pt>
                <c:pt idx="14">
                  <c:v>1.0338983050847457</c:v>
                </c:pt>
                <c:pt idx="15">
                  <c:v>1.0212765957446808</c:v>
                </c:pt>
                <c:pt idx="16">
                  <c:v>1.0085470085470085</c:v>
                </c:pt>
                <c:pt idx="17">
                  <c:v>0.99570815450643779</c:v>
                </c:pt>
                <c:pt idx="18">
                  <c:v>0.98275862068965514</c:v>
                </c:pt>
                <c:pt idx="19">
                  <c:v>0.96969696969696972</c:v>
                </c:pt>
                <c:pt idx="20">
                  <c:v>0.95652173913043481</c:v>
                </c:pt>
                <c:pt idx="21">
                  <c:v>0.94323144104803491</c:v>
                </c:pt>
                <c:pt idx="22">
                  <c:v>0.92982456140350878</c:v>
                </c:pt>
                <c:pt idx="23">
                  <c:v>0.91629955947136565</c:v>
                </c:pt>
                <c:pt idx="24">
                  <c:v>0.90265486725663713</c:v>
                </c:pt>
                <c:pt idx="25">
                  <c:v>0.88888888888888884</c:v>
                </c:pt>
                <c:pt idx="26">
                  <c:v>0.875</c:v>
                </c:pt>
                <c:pt idx="27">
                  <c:v>0.86098654708520184</c:v>
                </c:pt>
                <c:pt idx="28">
                  <c:v>0.84684684684684686</c:v>
                </c:pt>
                <c:pt idx="29">
                  <c:v>0.83257918552036203</c:v>
                </c:pt>
                <c:pt idx="30">
                  <c:v>0.81818181818181823</c:v>
                </c:pt>
                <c:pt idx="31">
                  <c:v>0.80365296803652964</c:v>
                </c:pt>
                <c:pt idx="32">
                  <c:v>0.78899082568807344</c:v>
                </c:pt>
                <c:pt idx="33">
                  <c:v>0.77419354838709675</c:v>
                </c:pt>
                <c:pt idx="34">
                  <c:v>0.7592592592592593</c:v>
                </c:pt>
                <c:pt idx="35">
                  <c:v>0.7441860465116279</c:v>
                </c:pt>
                <c:pt idx="36">
                  <c:v>0.7289719626168224</c:v>
                </c:pt>
                <c:pt idx="37">
                  <c:v>0.71361502347417838</c:v>
                </c:pt>
                <c:pt idx="38">
                  <c:v>0.69811320754716977</c:v>
                </c:pt>
                <c:pt idx="39">
                  <c:v>0.68246445497630337</c:v>
                </c:pt>
                <c:pt idx="40">
                  <c:v>0.66666666666666663</c:v>
                </c:pt>
                <c:pt idx="41">
                  <c:v>0.65071770334928225</c:v>
                </c:pt>
                <c:pt idx="42">
                  <c:v>0.63461538461538458</c:v>
                </c:pt>
                <c:pt idx="43">
                  <c:v>0.61835748792270528</c:v>
                </c:pt>
                <c:pt idx="44">
                  <c:v>0.60194174757281549</c:v>
                </c:pt>
                <c:pt idx="45">
                  <c:v>0.58536585365853655</c:v>
                </c:pt>
                <c:pt idx="46">
                  <c:v>0.56862745098039214</c:v>
                </c:pt>
                <c:pt idx="47">
                  <c:v>0.55172413793103448</c:v>
                </c:pt>
                <c:pt idx="48">
                  <c:v>0.53465346534653468</c:v>
                </c:pt>
                <c:pt idx="49">
                  <c:v>0.51741293532338306</c:v>
                </c:pt>
                <c:pt idx="50">
                  <c:v>0.5</c:v>
                </c:pt>
                <c:pt idx="51">
                  <c:v>0.48241206030150752</c:v>
                </c:pt>
                <c:pt idx="52">
                  <c:v>0.46464646464646464</c:v>
                </c:pt>
                <c:pt idx="53">
                  <c:v>0.4467005076142132</c:v>
                </c:pt>
                <c:pt idx="54">
                  <c:v>0.42857142857142855</c:v>
                </c:pt>
                <c:pt idx="55">
                  <c:v>0.41025641025641024</c:v>
                </c:pt>
                <c:pt idx="56">
                  <c:v>0.39175257731958762</c:v>
                </c:pt>
                <c:pt idx="57">
                  <c:v>0.37305699481865284</c:v>
                </c:pt>
                <c:pt idx="58">
                  <c:v>0.35416666666666669</c:v>
                </c:pt>
                <c:pt idx="59">
                  <c:v>0.33507853403141363</c:v>
                </c:pt>
                <c:pt idx="60">
                  <c:v>0.31578947368421051</c:v>
                </c:pt>
                <c:pt idx="61">
                  <c:v>0.29629629629629628</c:v>
                </c:pt>
                <c:pt idx="62">
                  <c:v>0.27659574468085107</c:v>
                </c:pt>
                <c:pt idx="63">
                  <c:v>0.25668449197860965</c:v>
                </c:pt>
                <c:pt idx="64">
                  <c:v>0.23655913978494625</c:v>
                </c:pt>
                <c:pt idx="65">
                  <c:v>0.21621621621621623</c:v>
                </c:pt>
                <c:pt idx="66">
                  <c:v>0.19565217391304349</c:v>
                </c:pt>
                <c:pt idx="67">
                  <c:v>0.17486338797814208</c:v>
                </c:pt>
                <c:pt idx="68">
                  <c:v>0.15384615384615385</c:v>
                </c:pt>
                <c:pt idx="69">
                  <c:v>0.13259668508287292</c:v>
                </c:pt>
                <c:pt idx="70">
                  <c:v>0.1111111111111111</c:v>
                </c:pt>
              </c:numCache>
            </c:numRef>
          </c:xVal>
          <c:yVal>
            <c:numRef>
              <c:f>'Catagenesis '!$E$21:$E$95</c:f>
              <c:numCache>
                <c:formatCode>0.0000</c:formatCode>
                <c:ptCount val="75"/>
                <c:pt idx="0">
                  <c:v>-34.678504911399457</c:v>
                </c:pt>
                <c:pt idx="1">
                  <c:v>-34.5841337327264</c:v>
                </c:pt>
                <c:pt idx="2">
                  <c:v>-34.489373508112649</c:v>
                </c:pt>
                <c:pt idx="3">
                  <c:v>-34.394221055243257</c:v>
                </c:pt>
                <c:pt idx="4">
                  <c:v>-34.298673152757587</c:v>
                </c:pt>
                <c:pt idx="5">
                  <c:v>-34.202726539606985</c:v>
                </c:pt>
                <c:pt idx="6">
                  <c:v>-34.106377914402962</c:v>
                </c:pt>
                <c:pt idx="7">
                  <c:v>-34.009623934749264</c:v>
                </c:pt>
                <c:pt idx="8">
                  <c:v>-33.912461216562662</c:v>
                </c:pt>
                <c:pt idx="9">
                  <c:v>-33.814886333376926</c:v>
                </c:pt>
                <c:pt idx="10">
                  <c:v>-33.716895815634082</c:v>
                </c:pt>
                <c:pt idx="11">
                  <c:v>-33.618486149960766</c:v>
                </c:pt>
                <c:pt idx="12">
                  <c:v>-33.519653778428136</c:v>
                </c:pt>
                <c:pt idx="13">
                  <c:v>-33.42039509779682</c:v>
                </c:pt>
                <c:pt idx="14">
                  <c:v>-33.320706458746741</c:v>
                </c:pt>
                <c:pt idx="15">
                  <c:v>-33.220584165088773</c:v>
                </c:pt>
                <c:pt idx="16">
                  <c:v>-33.120024472960807</c:v>
                </c:pt>
                <c:pt idx="17">
                  <c:v>-33.01902359000497</c:v>
                </c:pt>
                <c:pt idx="18">
                  <c:v>-32.917577674529966</c:v>
                </c:pt>
                <c:pt idx="19">
                  <c:v>-32.815682834652307</c:v>
                </c:pt>
                <c:pt idx="20">
                  <c:v>-32.713335127419363</c:v>
                </c:pt>
                <c:pt idx="21">
                  <c:v>-32.610530557915737</c:v>
                </c:pt>
                <c:pt idx="22">
                  <c:v>-32.507265078345668</c:v>
                </c:pt>
                <c:pt idx="23">
                  <c:v>-32.403534587099436</c:v>
                </c:pt>
                <c:pt idx="24">
                  <c:v>-32.299334927795911</c:v>
                </c:pt>
                <c:pt idx="25">
                  <c:v>-32.194661888306001</c:v>
                </c:pt>
                <c:pt idx="26">
                  <c:v>-32.089511199751897</c:v>
                </c:pt>
                <c:pt idx="27">
                  <c:v>-31.983878535487232</c:v>
                </c:pt>
                <c:pt idx="28">
                  <c:v>-31.877759510049451</c:v>
                </c:pt>
                <c:pt idx="29">
                  <c:v>-31.771149678094581</c:v>
                </c:pt>
                <c:pt idx="30">
                  <c:v>-31.664044533300185</c:v>
                </c:pt>
                <c:pt idx="31">
                  <c:v>-31.556439507250733</c:v>
                </c:pt>
                <c:pt idx="32">
                  <c:v>-31.448329968292612</c:v>
                </c:pt>
                <c:pt idx="33">
                  <c:v>-31.339711220362609</c:v>
                </c:pt>
                <c:pt idx="34">
                  <c:v>-31.230578501793339</c:v>
                </c:pt>
                <c:pt idx="35">
                  <c:v>-31.120926984085528</c:v>
                </c:pt>
                <c:pt idx="36">
                  <c:v>-31.010751770655489</c:v>
                </c:pt>
                <c:pt idx="37">
                  <c:v>-30.900047895551563</c:v>
                </c:pt>
                <c:pt idx="38">
                  <c:v>-30.788810322139316</c:v>
                </c:pt>
                <c:pt idx="39">
                  <c:v>-30.677033941757138</c:v>
                </c:pt>
                <c:pt idx="40">
                  <c:v>-30.564713572339919</c:v>
                </c:pt>
                <c:pt idx="41">
                  <c:v>-30.451843957007618</c:v>
                </c:pt>
                <c:pt idx="42">
                  <c:v>-30.338419762621861</c:v>
                </c:pt>
                <c:pt idx="43">
                  <c:v>-30.224435578306451</c:v>
                </c:pt>
                <c:pt idx="44">
                  <c:v>-30.109885913932601</c:v>
                </c:pt>
                <c:pt idx="45">
                  <c:v>-29.994765198566142</c:v>
                </c:pt>
                <c:pt idx="46">
                  <c:v>-29.879067778878831</c:v>
                </c:pt>
                <c:pt idx="47">
                  <c:v>-29.762787917516633</c:v>
                </c:pt>
                <c:pt idx="48">
                  <c:v>-29.645919791430941</c:v>
                </c:pt>
                <c:pt idx="49">
                  <c:v>-29.528457490167416</c:v>
                </c:pt>
                <c:pt idx="50">
                  <c:v>-29.410395014110691</c:v>
                </c:pt>
                <c:pt idx="51">
                  <c:v>-29.291726272685171</c:v>
                </c:pt>
                <c:pt idx="52">
                  <c:v>-29.172445082512265</c:v>
                </c:pt>
                <c:pt idx="53">
                  <c:v>-29.052545165517586</c:v>
                </c:pt>
                <c:pt idx="54">
                  <c:v>-28.932020146993143</c:v>
                </c:pt>
                <c:pt idx="55">
                  <c:v>-28.810863553605959</c:v>
                </c:pt>
                <c:pt idx="56">
                  <c:v>-28.689068811359462</c:v>
                </c:pt>
                <c:pt idx="57">
                  <c:v>-28.566629243498063</c:v>
                </c:pt>
                <c:pt idx="58">
                  <c:v>-28.443538068359196</c:v>
                </c:pt>
                <c:pt idx="59">
                  <c:v>-28.319788397168864</c:v>
                </c:pt>
                <c:pt idx="60">
                  <c:v>-28.195373231778788</c:v>
                </c:pt>
                <c:pt idx="61">
                  <c:v>-28.070285462342358</c:v>
                </c:pt>
                <c:pt idx="62">
                  <c:v>-27.944517864931129</c:v>
                </c:pt>
                <c:pt idx="63">
                  <c:v>-27.818063099085634</c:v>
                </c:pt>
                <c:pt idx="64">
                  <c:v>-27.690913705299636</c:v>
                </c:pt>
                <c:pt idx="65">
                  <c:v>-27.563062102438863</c:v>
                </c:pt>
                <c:pt idx="66">
                  <c:v>-27.434500585086006</c:v>
                </c:pt>
                <c:pt idx="67">
                  <c:v>-27.305221320817139</c:v>
                </c:pt>
                <c:pt idx="68">
                  <c:v>-27.1752163473985</c:v>
                </c:pt>
                <c:pt idx="69">
                  <c:v>-27.04447756990891</c:v>
                </c:pt>
                <c:pt idx="70">
                  <c:v>-26.912996757781471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5-4EA3-BF97-01CAE0B5C948}"/>
            </c:ext>
          </c:extLst>
        </c:ser>
        <c:ser>
          <c:idx val="1"/>
          <c:order val="1"/>
          <c:tx>
            <c:v>Des Marais (2.1-1 Gya)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desMarais!$A$5:$A$12</c:f>
              <c:numCache>
                <c:formatCode>General</c:formatCode>
                <c:ptCount val="8"/>
                <c:pt idx="0">
                  <c:v>0.1</c:v>
                </c:pt>
                <c:pt idx="1">
                  <c:v>0.20200000000000001</c:v>
                </c:pt>
                <c:pt idx="2">
                  <c:v>0.30299999999999999</c:v>
                </c:pt>
                <c:pt idx="3">
                  <c:v>0.39800000000000002</c:v>
                </c:pt>
                <c:pt idx="4">
                  <c:v>0.49399999999999999</c:v>
                </c:pt>
                <c:pt idx="5">
                  <c:v>0.59699999999999998</c:v>
                </c:pt>
                <c:pt idx="6">
                  <c:v>0.69699999999999995</c:v>
                </c:pt>
                <c:pt idx="7">
                  <c:v>1.2</c:v>
                </c:pt>
              </c:numCache>
            </c:numRef>
          </c:xVal>
          <c:yVal>
            <c:numRef>
              <c:f>desMarais!$B$5:$B$12</c:f>
              <c:numCache>
                <c:formatCode>General</c:formatCode>
                <c:ptCount val="8"/>
                <c:pt idx="0">
                  <c:v>-28.693000000000001</c:v>
                </c:pt>
                <c:pt idx="1">
                  <c:v>-29.847999999999999</c:v>
                </c:pt>
                <c:pt idx="2">
                  <c:v>-30.741</c:v>
                </c:pt>
                <c:pt idx="3">
                  <c:v>-30.443000000000001</c:v>
                </c:pt>
                <c:pt idx="4">
                  <c:v>-31.585000000000001</c:v>
                </c:pt>
                <c:pt idx="5">
                  <c:v>-31.547999999999998</c:v>
                </c:pt>
                <c:pt idx="6">
                  <c:v>-31.759</c:v>
                </c:pt>
                <c:pt idx="7">
                  <c:v>-34.547640000000001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B-A742-BAB0-4C112E718360}"/>
            </c:ext>
          </c:extLst>
        </c:ser>
        <c:ser>
          <c:idx val="2"/>
          <c:order val="2"/>
          <c:tx>
            <c:v>Des Marais (1-0.6 Gya)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desMarais!$A$18:$A$23</c:f>
              <c:numCache>
                <c:formatCode>General</c:formatCode>
                <c:ptCount val="6"/>
                <c:pt idx="0">
                  <c:v>0.20200000000000001</c:v>
                </c:pt>
                <c:pt idx="1">
                  <c:v>0.29799999999999999</c:v>
                </c:pt>
                <c:pt idx="2">
                  <c:v>0.4</c:v>
                </c:pt>
                <c:pt idx="3">
                  <c:v>0.49399999999999999</c:v>
                </c:pt>
                <c:pt idx="4">
                  <c:v>0.59599999999999997</c:v>
                </c:pt>
                <c:pt idx="5">
                  <c:v>0.69699999999999995</c:v>
                </c:pt>
              </c:numCache>
            </c:numRef>
          </c:xVal>
          <c:yVal>
            <c:numRef>
              <c:f>desMarais!$B$18:$B$23</c:f>
              <c:numCache>
                <c:formatCode>General</c:formatCode>
                <c:ptCount val="6"/>
                <c:pt idx="0">
                  <c:v>-26.699000000000002</c:v>
                </c:pt>
                <c:pt idx="1">
                  <c:v>-27.023</c:v>
                </c:pt>
                <c:pt idx="2">
                  <c:v>-27.222999999999999</c:v>
                </c:pt>
                <c:pt idx="3">
                  <c:v>-28.594999999999999</c:v>
                </c:pt>
                <c:pt idx="4">
                  <c:v>-28.408000000000001</c:v>
                </c:pt>
                <c:pt idx="5">
                  <c:v>-29.07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B-A742-BAB0-4C112E71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79951"/>
        <c:axId val="1111580911"/>
      </c:scatterChart>
      <c:valAx>
        <c:axId val="11115799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11580911"/>
        <c:crossesAt val="-38"/>
        <c:crossBetween val="midCat"/>
      </c:valAx>
      <c:valAx>
        <c:axId val="1111580911"/>
        <c:scaling>
          <c:orientation val="minMax"/>
          <c:max val="-24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1157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491002968891186"/>
          <c:y val="4.5223341165194567E-2"/>
          <c:w val="0.317681008106031"/>
          <c:h val="0.4023679288609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versus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'Catagenesis '!$F$21:$F$91</c:f>
              <c:numCache>
                <c:formatCode>General</c:formatCode>
                <c:ptCount val="71"/>
                <c:pt idx="0">
                  <c:v>1</c:v>
                </c:pt>
                <c:pt idx="1">
                  <c:v>0.99199999999999999</c:v>
                </c:pt>
                <c:pt idx="2">
                  <c:v>0.98399999999999999</c:v>
                </c:pt>
                <c:pt idx="3">
                  <c:v>0.97599999999999998</c:v>
                </c:pt>
                <c:pt idx="4">
                  <c:v>0.96799999999999997</c:v>
                </c:pt>
                <c:pt idx="5">
                  <c:v>0.96</c:v>
                </c:pt>
                <c:pt idx="6">
                  <c:v>0.95199999999999996</c:v>
                </c:pt>
                <c:pt idx="7">
                  <c:v>0.94399999999999995</c:v>
                </c:pt>
                <c:pt idx="8">
                  <c:v>0.93600000000000005</c:v>
                </c:pt>
                <c:pt idx="9">
                  <c:v>0.92800000000000005</c:v>
                </c:pt>
                <c:pt idx="10">
                  <c:v>0.92</c:v>
                </c:pt>
                <c:pt idx="11">
                  <c:v>0.91200000000000003</c:v>
                </c:pt>
                <c:pt idx="12">
                  <c:v>0.90400000000000003</c:v>
                </c:pt>
                <c:pt idx="13">
                  <c:v>0.89600000000000002</c:v>
                </c:pt>
                <c:pt idx="14">
                  <c:v>0.88800000000000001</c:v>
                </c:pt>
                <c:pt idx="15">
                  <c:v>0.88</c:v>
                </c:pt>
                <c:pt idx="16">
                  <c:v>0.872</c:v>
                </c:pt>
                <c:pt idx="17">
                  <c:v>0.86399999999999999</c:v>
                </c:pt>
                <c:pt idx="18">
                  <c:v>0.85599999999999998</c:v>
                </c:pt>
                <c:pt idx="19">
                  <c:v>0.84799999999999998</c:v>
                </c:pt>
                <c:pt idx="20">
                  <c:v>0.84</c:v>
                </c:pt>
                <c:pt idx="21">
                  <c:v>0.83199999999999996</c:v>
                </c:pt>
                <c:pt idx="22">
                  <c:v>0.82399999999999995</c:v>
                </c:pt>
                <c:pt idx="23">
                  <c:v>0.81599999999999995</c:v>
                </c:pt>
                <c:pt idx="24">
                  <c:v>0.80800000000000005</c:v>
                </c:pt>
                <c:pt idx="25">
                  <c:v>0.8</c:v>
                </c:pt>
                <c:pt idx="26">
                  <c:v>0.79200000000000004</c:v>
                </c:pt>
                <c:pt idx="27">
                  <c:v>0.78400000000000003</c:v>
                </c:pt>
                <c:pt idx="28">
                  <c:v>0.77600000000000002</c:v>
                </c:pt>
                <c:pt idx="29">
                  <c:v>0.76800000000000002</c:v>
                </c:pt>
                <c:pt idx="30">
                  <c:v>0.76</c:v>
                </c:pt>
                <c:pt idx="31">
                  <c:v>0.752</c:v>
                </c:pt>
                <c:pt idx="32">
                  <c:v>0.74399999999999999</c:v>
                </c:pt>
                <c:pt idx="33">
                  <c:v>0.73599999999999999</c:v>
                </c:pt>
                <c:pt idx="34">
                  <c:v>0.72799999999999998</c:v>
                </c:pt>
                <c:pt idx="35">
                  <c:v>0.72</c:v>
                </c:pt>
                <c:pt idx="36">
                  <c:v>0.71199999999999997</c:v>
                </c:pt>
                <c:pt idx="37">
                  <c:v>0.70399999999999996</c:v>
                </c:pt>
                <c:pt idx="38">
                  <c:v>0.69599999999999995</c:v>
                </c:pt>
                <c:pt idx="39">
                  <c:v>0.68799999999999994</c:v>
                </c:pt>
                <c:pt idx="40">
                  <c:v>0.68</c:v>
                </c:pt>
                <c:pt idx="41">
                  <c:v>0.67200000000000004</c:v>
                </c:pt>
                <c:pt idx="42">
                  <c:v>0.66400000000000003</c:v>
                </c:pt>
                <c:pt idx="43">
                  <c:v>0.65600000000000003</c:v>
                </c:pt>
                <c:pt idx="44">
                  <c:v>0.64800000000000002</c:v>
                </c:pt>
                <c:pt idx="45">
                  <c:v>0.64</c:v>
                </c:pt>
                <c:pt idx="46">
                  <c:v>0.63200000000000001</c:v>
                </c:pt>
                <c:pt idx="47">
                  <c:v>0.624</c:v>
                </c:pt>
                <c:pt idx="48">
                  <c:v>0.61599999999999999</c:v>
                </c:pt>
                <c:pt idx="49">
                  <c:v>0.60799999999999998</c:v>
                </c:pt>
                <c:pt idx="50">
                  <c:v>0.6</c:v>
                </c:pt>
                <c:pt idx="51">
                  <c:v>0.59199999999999997</c:v>
                </c:pt>
                <c:pt idx="52">
                  <c:v>0.58399999999999996</c:v>
                </c:pt>
                <c:pt idx="53">
                  <c:v>0.57599999999999996</c:v>
                </c:pt>
                <c:pt idx="54">
                  <c:v>0.56799999999999995</c:v>
                </c:pt>
                <c:pt idx="55">
                  <c:v>0.56000000000000005</c:v>
                </c:pt>
                <c:pt idx="56">
                  <c:v>0.55200000000000005</c:v>
                </c:pt>
                <c:pt idx="57">
                  <c:v>0.54400000000000004</c:v>
                </c:pt>
                <c:pt idx="58">
                  <c:v>0.53600000000000003</c:v>
                </c:pt>
                <c:pt idx="59">
                  <c:v>0.52800000000000002</c:v>
                </c:pt>
                <c:pt idx="60">
                  <c:v>0.52</c:v>
                </c:pt>
                <c:pt idx="61">
                  <c:v>0.51200000000000001</c:v>
                </c:pt>
                <c:pt idx="62">
                  <c:v>0.504</c:v>
                </c:pt>
                <c:pt idx="63">
                  <c:v>0.496</c:v>
                </c:pt>
                <c:pt idx="64">
                  <c:v>0.48799999999999999</c:v>
                </c:pt>
                <c:pt idx="65">
                  <c:v>0.48</c:v>
                </c:pt>
                <c:pt idx="66">
                  <c:v>0.47199999999999998</c:v>
                </c:pt>
                <c:pt idx="67">
                  <c:v>0.46400000000000002</c:v>
                </c:pt>
                <c:pt idx="68">
                  <c:v>0.45600000000000002</c:v>
                </c:pt>
                <c:pt idx="69">
                  <c:v>0.44800000000000001</c:v>
                </c:pt>
                <c:pt idx="70">
                  <c:v>0.44</c:v>
                </c:pt>
              </c:numCache>
            </c:numRef>
          </c:xVal>
          <c:yVal>
            <c:numRef>
              <c:f>'Catagenesis '!$E$21:$E$91</c:f>
              <c:numCache>
                <c:formatCode>0.0000</c:formatCode>
                <c:ptCount val="71"/>
                <c:pt idx="0">
                  <c:v>-34.678504911399457</c:v>
                </c:pt>
                <c:pt idx="1">
                  <c:v>-34.5841337327264</c:v>
                </c:pt>
                <c:pt idx="2">
                  <c:v>-34.489373508112649</c:v>
                </c:pt>
                <c:pt idx="3">
                  <c:v>-34.394221055243257</c:v>
                </c:pt>
                <c:pt idx="4">
                  <c:v>-34.298673152757587</c:v>
                </c:pt>
                <c:pt idx="5">
                  <c:v>-34.202726539606985</c:v>
                </c:pt>
                <c:pt idx="6">
                  <c:v>-34.106377914402962</c:v>
                </c:pt>
                <c:pt idx="7">
                  <c:v>-34.009623934749264</c:v>
                </c:pt>
                <c:pt idx="8">
                  <c:v>-33.912461216562662</c:v>
                </c:pt>
                <c:pt idx="9">
                  <c:v>-33.814886333376926</c:v>
                </c:pt>
                <c:pt idx="10">
                  <c:v>-33.716895815634082</c:v>
                </c:pt>
                <c:pt idx="11">
                  <c:v>-33.618486149960766</c:v>
                </c:pt>
                <c:pt idx="12">
                  <c:v>-33.519653778428136</c:v>
                </c:pt>
                <c:pt idx="13">
                  <c:v>-33.42039509779682</c:v>
                </c:pt>
                <c:pt idx="14">
                  <c:v>-33.320706458746741</c:v>
                </c:pt>
                <c:pt idx="15">
                  <c:v>-33.220584165088773</c:v>
                </c:pt>
                <c:pt idx="16">
                  <c:v>-33.120024472960807</c:v>
                </c:pt>
                <c:pt idx="17">
                  <c:v>-33.01902359000497</c:v>
                </c:pt>
                <c:pt idx="18">
                  <c:v>-32.917577674529966</c:v>
                </c:pt>
                <c:pt idx="19">
                  <c:v>-32.815682834652307</c:v>
                </c:pt>
                <c:pt idx="20">
                  <c:v>-32.713335127419363</c:v>
                </c:pt>
                <c:pt idx="21">
                  <c:v>-32.610530557915737</c:v>
                </c:pt>
                <c:pt idx="22">
                  <c:v>-32.507265078345668</c:v>
                </c:pt>
                <c:pt idx="23">
                  <c:v>-32.403534587099436</c:v>
                </c:pt>
                <c:pt idx="24">
                  <c:v>-32.299334927795911</c:v>
                </c:pt>
                <c:pt idx="25">
                  <c:v>-32.194661888306001</c:v>
                </c:pt>
                <c:pt idx="26">
                  <c:v>-32.089511199751897</c:v>
                </c:pt>
                <c:pt idx="27">
                  <c:v>-31.983878535487232</c:v>
                </c:pt>
                <c:pt idx="28">
                  <c:v>-31.877759510049451</c:v>
                </c:pt>
                <c:pt idx="29">
                  <c:v>-31.771149678094581</c:v>
                </c:pt>
                <c:pt idx="30">
                  <c:v>-31.664044533300185</c:v>
                </c:pt>
                <c:pt idx="31">
                  <c:v>-31.556439507250733</c:v>
                </c:pt>
                <c:pt idx="32">
                  <c:v>-31.448329968292612</c:v>
                </c:pt>
                <c:pt idx="33">
                  <c:v>-31.339711220362609</c:v>
                </c:pt>
                <c:pt idx="34">
                  <c:v>-31.230578501793339</c:v>
                </c:pt>
                <c:pt idx="35">
                  <c:v>-31.120926984085528</c:v>
                </c:pt>
                <c:pt idx="36">
                  <c:v>-31.010751770655489</c:v>
                </c:pt>
                <c:pt idx="37">
                  <c:v>-30.900047895551563</c:v>
                </c:pt>
                <c:pt idx="38">
                  <c:v>-30.788810322139316</c:v>
                </c:pt>
                <c:pt idx="39">
                  <c:v>-30.677033941757138</c:v>
                </c:pt>
                <c:pt idx="40">
                  <c:v>-30.564713572339919</c:v>
                </c:pt>
                <c:pt idx="41">
                  <c:v>-30.451843957007618</c:v>
                </c:pt>
                <c:pt idx="42">
                  <c:v>-30.338419762621861</c:v>
                </c:pt>
                <c:pt idx="43">
                  <c:v>-30.224435578306451</c:v>
                </c:pt>
                <c:pt idx="44">
                  <c:v>-30.109885913932601</c:v>
                </c:pt>
                <c:pt idx="45">
                  <c:v>-29.994765198566142</c:v>
                </c:pt>
                <c:pt idx="46">
                  <c:v>-29.879067778878831</c:v>
                </c:pt>
                <c:pt idx="47">
                  <c:v>-29.762787917516633</c:v>
                </c:pt>
                <c:pt idx="48">
                  <c:v>-29.645919791430941</c:v>
                </c:pt>
                <c:pt idx="49">
                  <c:v>-29.528457490167416</c:v>
                </c:pt>
                <c:pt idx="50">
                  <c:v>-29.410395014110691</c:v>
                </c:pt>
                <c:pt idx="51">
                  <c:v>-29.291726272685171</c:v>
                </c:pt>
                <c:pt idx="52">
                  <c:v>-29.172445082512265</c:v>
                </c:pt>
                <c:pt idx="53">
                  <c:v>-29.052545165517586</c:v>
                </c:pt>
                <c:pt idx="54">
                  <c:v>-28.932020146993143</c:v>
                </c:pt>
                <c:pt idx="55">
                  <c:v>-28.810863553605959</c:v>
                </c:pt>
                <c:pt idx="56">
                  <c:v>-28.689068811359462</c:v>
                </c:pt>
                <c:pt idx="57">
                  <c:v>-28.566629243498063</c:v>
                </c:pt>
                <c:pt idx="58">
                  <c:v>-28.443538068359196</c:v>
                </c:pt>
                <c:pt idx="59">
                  <c:v>-28.319788397168864</c:v>
                </c:pt>
                <c:pt idx="60">
                  <c:v>-28.195373231778788</c:v>
                </c:pt>
                <c:pt idx="61">
                  <c:v>-28.070285462342358</c:v>
                </c:pt>
                <c:pt idx="62">
                  <c:v>-27.944517864931129</c:v>
                </c:pt>
                <c:pt idx="63">
                  <c:v>-27.818063099085634</c:v>
                </c:pt>
                <c:pt idx="64">
                  <c:v>-27.690913705299636</c:v>
                </c:pt>
                <c:pt idx="65">
                  <c:v>-27.563062102438863</c:v>
                </c:pt>
                <c:pt idx="66">
                  <c:v>-27.434500585086006</c:v>
                </c:pt>
                <c:pt idx="67">
                  <c:v>-27.305221320817139</c:v>
                </c:pt>
                <c:pt idx="68">
                  <c:v>-27.1752163473985</c:v>
                </c:pt>
                <c:pt idx="69">
                  <c:v>-27.04447756990891</c:v>
                </c:pt>
                <c:pt idx="70">
                  <c:v>-26.912996757781471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6-074E-971D-729C0CE7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51823"/>
        <c:axId val="1181039023"/>
      </c:scatterChart>
      <c:valAx>
        <c:axId val="118105182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9023"/>
        <c:crosses val="autoZero"/>
        <c:crossBetween val="midCat"/>
      </c:valAx>
      <c:valAx>
        <c:axId val="11810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5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'metagenesis '!$A$8:$A$18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'metagenesis '!$D$8:$D$18</c:f>
              <c:numCache>
                <c:formatCode>0.00</c:formatCode>
                <c:ptCount val="11"/>
                <c:pt idx="0">
                  <c:v>-26.912996757781471</c:v>
                </c:pt>
                <c:pt idx="1">
                  <c:v>-24.822132320434285</c:v>
                </c:pt>
                <c:pt idx="2">
                  <c:v>-22.731171181328836</c:v>
                </c:pt>
                <c:pt idx="3">
                  <c:v>-20.640113333756371</c:v>
                </c:pt>
                <c:pt idx="4">
                  <c:v>-18.54895877100715</c:v>
                </c:pt>
                <c:pt idx="5">
                  <c:v>-16.457707486371433</c:v>
                </c:pt>
                <c:pt idx="6">
                  <c:v>-14.36635947313858</c:v>
                </c:pt>
                <c:pt idx="7">
                  <c:v>-12.274914724597297</c:v>
                </c:pt>
                <c:pt idx="8">
                  <c:v>-10.183373234035287</c:v>
                </c:pt>
                <c:pt idx="9">
                  <c:v>-8.0917349947408077</c:v>
                </c:pt>
                <c:pt idx="10">
                  <c:v>-6.0000000000000053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6-F94C-8C54-65C627A9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5920"/>
        <c:axId val="446667920"/>
      </c:scatterChart>
      <c:valAx>
        <c:axId val="44666592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667920"/>
        <c:crossesAt val="-30"/>
        <c:crossBetween val="midCat"/>
      </c:valAx>
      <c:valAx>
        <c:axId val="44666792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466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12</xdr:row>
      <xdr:rowOff>139700</xdr:rowOff>
    </xdr:from>
    <xdr:ext cx="891078" cy="4411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582799-4B56-4870-AC59-A25D2B045BAC}"/>
                </a:ext>
              </a:extLst>
            </xdr:cNvPr>
            <xdr:cNvSpPr txBox="1"/>
          </xdr:nvSpPr>
          <xdr:spPr>
            <a:xfrm>
              <a:off x="5194300" y="2552700"/>
              <a:ext cx="891078" cy="441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582799-4B56-4870-AC59-A25D2B045BAC}"/>
                </a:ext>
              </a:extLst>
            </xdr:cNvPr>
            <xdr:cNvSpPr txBox="1"/>
          </xdr:nvSpPr>
          <xdr:spPr>
            <a:xfrm>
              <a:off x="5194300" y="2552700"/>
              <a:ext cx="891078" cy="441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𝐹=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𝑅/(1+𝑅)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165100</xdr:colOff>
      <xdr:row>12</xdr:row>
      <xdr:rowOff>139700</xdr:rowOff>
    </xdr:from>
    <xdr:ext cx="882650" cy="436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9FEC35-7501-4C5A-8C08-96167FC7C257}"/>
                </a:ext>
              </a:extLst>
            </xdr:cNvPr>
            <xdr:cNvSpPr txBox="1"/>
          </xdr:nvSpPr>
          <xdr:spPr>
            <a:xfrm>
              <a:off x="9658350" y="2552700"/>
              <a:ext cx="88265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9FEC35-7501-4C5A-8C08-96167FC7C257}"/>
                </a:ext>
              </a:extLst>
            </xdr:cNvPr>
            <xdr:cNvSpPr txBox="1"/>
          </xdr:nvSpPr>
          <xdr:spPr>
            <a:xfrm>
              <a:off x="9658350" y="2552700"/>
              <a:ext cx="88265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=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𝐹/(1−𝐹)</a:t>
              </a:r>
              <a:endParaRPr lang="en-US" sz="1200"/>
            </a:p>
          </xdr:txBody>
        </xdr:sp>
      </mc:Fallback>
    </mc:AlternateContent>
    <xdr:clientData/>
  </xdr:oneCellAnchor>
  <xdr:twoCellAnchor editAs="oneCell">
    <xdr:from>
      <xdr:col>2</xdr:col>
      <xdr:colOff>590551</xdr:colOff>
      <xdr:row>13</xdr:row>
      <xdr:rowOff>42212</xdr:rowOff>
    </xdr:from>
    <xdr:to>
      <xdr:col>2</xdr:col>
      <xdr:colOff>1765300</xdr:colOff>
      <xdr:row>15</xdr:row>
      <xdr:rowOff>63523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4E810B-4BE3-3C38-D1F0-329272DB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701" y="2639362"/>
          <a:ext cx="1174749" cy="402311"/>
        </a:xfrm>
        <a:prstGeom prst="rect">
          <a:avLst/>
        </a:prstGeom>
      </xdr:spPr>
    </xdr:pic>
    <xdr:clientData/>
  </xdr:twoCellAnchor>
  <xdr:twoCellAnchor>
    <xdr:from>
      <xdr:col>8</xdr:col>
      <xdr:colOff>584199</xdr:colOff>
      <xdr:row>15</xdr:row>
      <xdr:rowOff>206374</xdr:rowOff>
    </xdr:from>
    <xdr:to>
      <xdr:col>12</xdr:col>
      <xdr:colOff>381000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285EBA-F502-F954-7796-1633412E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16</xdr:row>
      <xdr:rowOff>82550</xdr:rowOff>
    </xdr:from>
    <xdr:to>
      <xdr:col>4</xdr:col>
      <xdr:colOff>139699</xdr:colOff>
      <xdr:row>18</xdr:row>
      <xdr:rowOff>91161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4B5D01-345E-4E48-9A1B-4934B4649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050" y="3454400"/>
          <a:ext cx="1174749" cy="402311"/>
        </a:xfrm>
        <a:prstGeom prst="rect">
          <a:avLst/>
        </a:prstGeom>
      </xdr:spPr>
    </xdr:pic>
    <xdr:clientData/>
  </xdr:twoCellAnchor>
  <xdr:twoCellAnchor>
    <xdr:from>
      <xdr:col>6</xdr:col>
      <xdr:colOff>555625</xdr:colOff>
      <xdr:row>15</xdr:row>
      <xdr:rowOff>193674</xdr:rowOff>
    </xdr:from>
    <xdr:to>
      <xdr:col>11</xdr:col>
      <xdr:colOff>241300</xdr:colOff>
      <xdr:row>32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5C00D-58FF-0855-6039-2235E6AA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33</xdr:row>
      <xdr:rowOff>184150</xdr:rowOff>
    </xdr:from>
    <xdr:to>
      <xdr:col>11</xdr:col>
      <xdr:colOff>228600</xdr:colOff>
      <xdr:row>53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40698-2A7B-9B5A-6EDC-C3ED6E3D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69850</xdr:rowOff>
    </xdr:from>
    <xdr:to>
      <xdr:col>11</xdr:col>
      <xdr:colOff>25400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D052C-11FF-EA1D-ADC6-41B00112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eichner, Sarah" id="{EDD10D2D-271E-4325-AACC-D6A8FF27A922}" userId="S::szeichne@caltech.edu::e93e1055-4f41-4a7c-b56c-cc3e0b33c3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13T16:35:50.66" personId="{EDD10D2D-271E-4325-AACC-D6A8FF27A922}" id="{1EF60182-11B8-44B3-9D6E-29EEA471DDB2}">
    <text xml:space="preserve">Wu et al., 2004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D057-5665-4B46-84BC-486CC419F1D8}">
  <dimension ref="A1:N71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28.6640625" bestFit="1" customWidth="1"/>
    <col min="2" max="2" width="13.83203125" customWidth="1"/>
    <col min="3" max="3" width="28.83203125" bestFit="1" customWidth="1"/>
    <col min="4" max="4" width="22" customWidth="1"/>
    <col min="5" max="5" width="24.83203125" customWidth="1"/>
    <col min="6" max="6" width="17.6640625" customWidth="1"/>
    <col min="7" max="7" width="19.1640625" bestFit="1" customWidth="1"/>
    <col min="8" max="8" width="16.5" customWidth="1"/>
    <col min="9" max="9" width="22.83203125" customWidth="1"/>
    <col min="10" max="10" width="15.33203125" customWidth="1"/>
    <col min="11" max="11" width="16.6640625" customWidth="1"/>
    <col min="12" max="12" width="14.83203125" customWidth="1"/>
    <col min="13" max="13" width="8.6640625" customWidth="1"/>
    <col min="14" max="14" width="18" customWidth="1"/>
  </cols>
  <sheetData>
    <row r="1" spans="1:14" ht="2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F1" s="9"/>
      <c r="G1" s="10" t="s">
        <v>17</v>
      </c>
      <c r="I1" s="10"/>
    </row>
    <row r="2" spans="1:14" ht="17" thickTop="1" x14ac:dyDescent="0.2">
      <c r="A2" s="3" t="s">
        <v>4</v>
      </c>
      <c r="B2" s="4">
        <v>1</v>
      </c>
      <c r="C2" s="4">
        <v>0.2</v>
      </c>
      <c r="D2" s="5">
        <v>0</v>
      </c>
      <c r="F2" s="10" t="s">
        <v>18</v>
      </c>
      <c r="G2" s="9">
        <f>1/1.03</f>
        <v>0.970873786407767</v>
      </c>
      <c r="I2" s="10"/>
    </row>
    <row r="3" spans="1:14" ht="16" x14ac:dyDescent="0.2">
      <c r="A3" s="3" t="s">
        <v>5</v>
      </c>
      <c r="B3" s="4">
        <v>0.1</v>
      </c>
      <c r="C3" s="4">
        <v>0.6</v>
      </c>
      <c r="D3" s="4">
        <v>0</v>
      </c>
      <c r="F3" s="10" t="s">
        <v>19</v>
      </c>
      <c r="G3" s="11">
        <f>1/G2</f>
        <v>1.03</v>
      </c>
    </row>
    <row r="4" spans="1:14" x14ac:dyDescent="0.2">
      <c r="A4" s="3" t="s">
        <v>6</v>
      </c>
      <c r="B4" s="4">
        <f>120/400</f>
        <v>0.3</v>
      </c>
      <c r="C4" s="4">
        <v>0.2</v>
      </c>
      <c r="D4" s="4">
        <f>1/3</f>
        <v>0.33333333333333331</v>
      </c>
      <c r="F4" s="3"/>
    </row>
    <row r="5" spans="1:14" ht="16" x14ac:dyDescent="0.2">
      <c r="A5" s="6" t="s">
        <v>7</v>
      </c>
      <c r="B5" s="6">
        <f>B2*C2+B3*C3*B4*C4</f>
        <v>0.2036</v>
      </c>
      <c r="C5" s="6" t="s">
        <v>8</v>
      </c>
      <c r="D5" s="6">
        <f>C4*D4+C3*D3+C2*D2</f>
        <v>6.6666666666666666E-2</v>
      </c>
      <c r="F5" s="64" t="s">
        <v>20</v>
      </c>
      <c r="G5" s="64"/>
    </row>
    <row r="6" spans="1:14" ht="16" x14ac:dyDescent="0.2">
      <c r="A6" s="6" t="s">
        <v>9</v>
      </c>
      <c r="B6" s="6">
        <v>10</v>
      </c>
      <c r="C6" s="3"/>
      <c r="D6" s="3"/>
      <c r="F6" s="12" t="s">
        <v>21</v>
      </c>
      <c r="G6" s="13">
        <f>1/(1.037*EXP(-55.055/(8.31446261815324*100)))</f>
        <v>1.0303350244615328</v>
      </c>
    </row>
    <row r="7" spans="1:14" ht="16" x14ac:dyDescent="0.2">
      <c r="A7" s="3"/>
      <c r="B7" s="3"/>
      <c r="C7" s="3"/>
      <c r="D7" s="3"/>
      <c r="F7" s="12" t="s">
        <v>22</v>
      </c>
      <c r="G7" s="14">
        <f>1.0022</f>
        <v>1.0022</v>
      </c>
    </row>
    <row r="8" spans="1:14" ht="16" x14ac:dyDescent="0.2">
      <c r="A8" s="7"/>
      <c r="B8" s="8" t="s">
        <v>10</v>
      </c>
      <c r="C8" s="8" t="s">
        <v>11</v>
      </c>
      <c r="D8" s="8" t="s">
        <v>12</v>
      </c>
      <c r="F8" s="2"/>
      <c r="G8" s="2"/>
    </row>
    <row r="9" spans="1:14" ht="16" x14ac:dyDescent="0.2">
      <c r="A9" s="7" t="s">
        <v>13</v>
      </c>
      <c r="B9" s="8"/>
      <c r="C9" s="8">
        <v>1.1180000000000001E-2</v>
      </c>
      <c r="D9" s="8"/>
      <c r="F9" s="2"/>
      <c r="G9" s="2"/>
    </row>
    <row r="10" spans="1:14" ht="16" x14ac:dyDescent="0.2">
      <c r="A10" s="8" t="s">
        <v>14</v>
      </c>
      <c r="B10" s="56">
        <v>-13</v>
      </c>
      <c r="C10" s="21">
        <f>(B10/1000 +1)*$C$9</f>
        <v>1.103466E-2</v>
      </c>
      <c r="D10" s="21">
        <f>C10/(1+C10)</f>
        <v>1.0914225235364335E-2</v>
      </c>
      <c r="F10" s="2" t="s">
        <v>23</v>
      </c>
      <c r="G10" s="2"/>
    </row>
    <row r="11" spans="1:14" ht="16" x14ac:dyDescent="0.2">
      <c r="A11" s="8" t="s">
        <v>15</v>
      </c>
      <c r="B11" s="56">
        <v>-37</v>
      </c>
      <c r="C11" s="21">
        <f>(B11/1000 +1)*$C$9</f>
        <v>1.0766340000000001E-2</v>
      </c>
      <c r="D11" s="21">
        <f>C11/(1+C11)</f>
        <v>1.0651660600411368E-2</v>
      </c>
      <c r="F11" s="15" t="s">
        <v>24</v>
      </c>
      <c r="G11" s="15"/>
    </row>
    <row r="12" spans="1:14" ht="16" x14ac:dyDescent="0.2">
      <c r="A12" s="8" t="s">
        <v>16</v>
      </c>
      <c r="B12" s="56">
        <f>((C12/C9)-1)*1000</f>
        <v>-34.600573260843206</v>
      </c>
      <c r="C12" s="21">
        <f>D12/(1-D12)</f>
        <v>1.0793165590943773E-2</v>
      </c>
      <c r="D12" s="21">
        <f>D10*(1/B6)+D11*((B6-1)/B6)</f>
        <v>1.0677917063906665E-2</v>
      </c>
    </row>
    <row r="13" spans="1:14" x14ac:dyDescent="0.2">
      <c r="H13" s="20"/>
    </row>
    <row r="14" spans="1:14" ht="16" x14ac:dyDescent="0.2">
      <c r="A14" s="17" t="s">
        <v>27</v>
      </c>
      <c r="B14" s="17">
        <v>0.01</v>
      </c>
      <c r="H14" s="20"/>
    </row>
    <row r="16" spans="1:14" ht="42.5" customHeight="1" x14ac:dyDescent="0.2">
      <c r="A16" s="16" t="s">
        <v>25</v>
      </c>
      <c r="B16" s="16" t="s">
        <v>26</v>
      </c>
      <c r="C16" s="16" t="s">
        <v>31</v>
      </c>
      <c r="D16" s="16" t="s">
        <v>28</v>
      </c>
      <c r="E16" s="16" t="s">
        <v>32</v>
      </c>
      <c r="F16" s="16" t="s">
        <v>29</v>
      </c>
      <c r="G16" s="16" t="s">
        <v>30</v>
      </c>
      <c r="H16" s="16" t="s">
        <v>33</v>
      </c>
      <c r="L16" s="16"/>
      <c r="N16" s="16"/>
    </row>
    <row r="17" spans="1:12" x14ac:dyDescent="0.2">
      <c r="A17">
        <v>1</v>
      </c>
      <c r="B17" s="58">
        <f>(2*A17+0*(1-A17))/($B$6*A17+($B$6-1)*(1-A17))</f>
        <v>0.2</v>
      </c>
      <c r="C17" s="19">
        <f>$C$10*A17^($G$2-1)</f>
        <v>1.103466E-2</v>
      </c>
      <c r="D17" s="19">
        <f>C17/(1+C17)</f>
        <v>1.0914225235364335E-2</v>
      </c>
      <c r="E17" s="22">
        <f>(A17*(1/$B$6))/(1-(1-A17)*(1/$B$6))</f>
        <v>0.1</v>
      </c>
      <c r="F17" s="18">
        <f t="shared" ref="F17:F48" si="0">D17*E17+$D$11*(1-E17)</f>
        <v>1.0677917063906665E-2</v>
      </c>
      <c r="G17" s="18">
        <f>F17/(1-F17)</f>
        <v>1.0793165590943773E-2</v>
      </c>
      <c r="H17" s="24">
        <f>(G17/$C$9-1)*1000</f>
        <v>-34.600573260843206</v>
      </c>
      <c r="K17" s="18"/>
      <c r="L17" s="22"/>
    </row>
    <row r="18" spans="1:12" x14ac:dyDescent="0.2">
      <c r="A18">
        <v>0.99</v>
      </c>
      <c r="B18" s="58">
        <f t="shared" ref="B18:B67" si="1">(2*A18+0*(1-A18))/($B$6*A18+($B$6-1)*(1-A18))</f>
        <v>0.1981981981981982</v>
      </c>
      <c r="C18" s="19">
        <f t="shared" ref="C18:C67" si="2">$C$10*A18^($G$2-1)</f>
        <v>1.1037890629301708E-2</v>
      </c>
      <c r="D18" s="19">
        <f t="shared" ref="D18:D48" si="3">C18/(1+C18)</f>
        <v>1.0917385719768998E-2</v>
      </c>
      <c r="E18" s="22">
        <f t="shared" ref="E18:E67" si="4">(A18*(1/$B$6))/(1-(1-A18)*(1/$B$6))</f>
        <v>9.90990990990991E-2</v>
      </c>
      <c r="F18" s="18">
        <f>D18*E18+$D$11*(1-E18)</f>
        <v>1.0677993720347711E-2</v>
      </c>
      <c r="G18" s="18">
        <f t="shared" ref="G18:G67" si="5">F18/(1-F18)</f>
        <v>1.0793243911052106E-2</v>
      </c>
      <c r="H18" s="24">
        <f t="shared" ref="H18:H67" si="6">(G18/$C$9-1)*1000</f>
        <v>-34.593567884427024</v>
      </c>
      <c r="K18" s="18"/>
      <c r="L18" s="23"/>
    </row>
    <row r="19" spans="1:12" x14ac:dyDescent="0.2">
      <c r="A19">
        <v>0.98</v>
      </c>
      <c r="B19" s="58">
        <f t="shared" si="1"/>
        <v>0.19639278557114226</v>
      </c>
      <c r="C19" s="19">
        <f t="shared" si="2"/>
        <v>1.104115501771937E-2</v>
      </c>
      <c r="D19" s="19">
        <f t="shared" si="3"/>
        <v>1.0920579209780895E-2</v>
      </c>
      <c r="E19" s="22">
        <f t="shared" si="4"/>
        <v>9.8196392785571143E-2</v>
      </c>
      <c r="F19" s="18">
        <f>D19*E19+$D$11*(1-E19)</f>
        <v>1.0678067437804369E-2</v>
      </c>
      <c r="G19" s="18">
        <f t="shared" si="5"/>
        <v>1.0793319228403007E-2</v>
      </c>
      <c r="H19" s="24">
        <f t="shared" si="6"/>
        <v>-34.58683109096539</v>
      </c>
      <c r="K19" s="18"/>
      <c r="L19" s="23"/>
    </row>
    <row r="20" spans="1:12" x14ac:dyDescent="0.2">
      <c r="A20">
        <v>0.97</v>
      </c>
      <c r="B20" s="58">
        <f t="shared" si="1"/>
        <v>0.19458375125376129</v>
      </c>
      <c r="C20" s="19">
        <f t="shared" si="2"/>
        <v>1.1044453867955443E-2</v>
      </c>
      <c r="D20" s="19">
        <f t="shared" si="3"/>
        <v>1.0923806392194375E-2</v>
      </c>
      <c r="E20" s="22">
        <f t="shared" si="4"/>
        <v>9.7291875626880645E-2</v>
      </c>
      <c r="F20" s="18">
        <f t="shared" si="0"/>
        <v>1.0678138174937898E-2</v>
      </c>
      <c r="G20" s="18">
        <f t="shared" si="5"/>
        <v>1.0793391500759204E-2</v>
      </c>
      <c r="H20" s="24">
        <f t="shared" si="6"/>
        <v>-34.580366658389707</v>
      </c>
      <c r="K20" s="18"/>
      <c r="L20" s="23"/>
    </row>
    <row r="21" spans="1:12" x14ac:dyDescent="0.2">
      <c r="A21">
        <v>0.96</v>
      </c>
      <c r="B21" s="58">
        <f t="shared" si="1"/>
        <v>0.19277108433734938</v>
      </c>
      <c r="C21" s="19">
        <f t="shared" si="2"/>
        <v>1.1047787904774242E-2</v>
      </c>
      <c r="D21" s="19">
        <f t="shared" si="3"/>
        <v>1.0927067975361396E-2</v>
      </c>
      <c r="E21" s="22">
        <f t="shared" si="4"/>
        <v>9.6385542168674704E-2</v>
      </c>
      <c r="F21" s="18">
        <f t="shared" si="0"/>
        <v>1.0678205889563178E-2</v>
      </c>
      <c r="G21" s="18">
        <f t="shared" si="5"/>
        <v>1.0793460685018713E-2</v>
      </c>
      <c r="H21" s="24">
        <f t="shared" si="6"/>
        <v>-34.574178441975633</v>
      </c>
      <c r="K21" s="18"/>
      <c r="L21" s="23"/>
    </row>
    <row r="22" spans="1:12" x14ac:dyDescent="0.2">
      <c r="A22">
        <v>0.95</v>
      </c>
      <c r="B22" s="58">
        <f t="shared" si="1"/>
        <v>0.1909547738693467</v>
      </c>
      <c r="C22" s="19">
        <f t="shared" si="2"/>
        <v>1.1051157875932888E-2</v>
      </c>
      <c r="D22" s="19">
        <f t="shared" si="3"/>
        <v>1.0930364690101058E-2</v>
      </c>
      <c r="E22" s="22">
        <f t="shared" si="4"/>
        <v>9.5477386934673364E-2</v>
      </c>
      <c r="F22" s="18">
        <f t="shared" si="0"/>
        <v>1.0678270538622947E-2</v>
      </c>
      <c r="G22" s="18">
        <f t="shared" si="5"/>
        <v>1.0793526737188506E-2</v>
      </c>
      <c r="H22" s="24">
        <f t="shared" si="6"/>
        <v>-34.568270376698962</v>
      </c>
      <c r="K22" s="18"/>
      <c r="L22" s="23"/>
    </row>
    <row r="23" spans="1:12" x14ac:dyDescent="0.2">
      <c r="A23">
        <v>0.94</v>
      </c>
      <c r="B23" s="58">
        <f t="shared" si="1"/>
        <v>0.1891348088531187</v>
      </c>
      <c r="C23" s="19">
        <f t="shared" si="2"/>
        <v>1.1054564553161866E-2</v>
      </c>
      <c r="D23" s="19">
        <f t="shared" si="3"/>
        <v>1.0933697290657561E-2</v>
      </c>
      <c r="E23" s="22">
        <f t="shared" si="4"/>
        <v>9.4567404426559351E-2</v>
      </c>
      <c r="F23" s="18">
        <f t="shared" si="0"/>
        <v>1.0678332078161008E-2</v>
      </c>
      <c r="G23" s="18">
        <f t="shared" si="5"/>
        <v>1.0793589612357147E-2</v>
      </c>
      <c r="H23" s="24">
        <f t="shared" si="6"/>
        <v>-34.562646479682769</v>
      </c>
      <c r="K23" s="18"/>
      <c r="L23" s="23"/>
    </row>
    <row r="24" spans="1:12" x14ac:dyDescent="0.2">
      <c r="A24">
        <v>0.93</v>
      </c>
      <c r="B24" s="58">
        <f t="shared" si="1"/>
        <v>0.18731117824773416</v>
      </c>
      <c r="C24" s="19">
        <f t="shared" si="2"/>
        <v>1.1058008733198281E-2</v>
      </c>
      <c r="D24" s="19">
        <f t="shared" si="3"/>
        <v>1.0937066555709673E-2</v>
      </c>
      <c r="E24" s="22">
        <f t="shared" si="4"/>
        <v>9.3655589123867081E-2</v>
      </c>
      <c r="F24" s="18">
        <f t="shared" si="0"/>
        <v>1.0678390463294291E-2</v>
      </c>
      <c r="G24" s="18">
        <f t="shared" si="5"/>
        <v>1.0793649264666248E-2</v>
      </c>
      <c r="H24" s="24">
        <f t="shared" si="6"/>
        <v>-34.55731085275071</v>
      </c>
      <c r="K24" s="18"/>
      <c r="L24" s="23"/>
    </row>
    <row r="25" spans="1:12" x14ac:dyDescent="0.2">
      <c r="A25">
        <v>0.92</v>
      </c>
      <c r="B25" s="58">
        <f t="shared" si="1"/>
        <v>0.18548387096774194</v>
      </c>
      <c r="C25" s="19">
        <f t="shared" si="2"/>
        <v>1.1061491238875312E-2</v>
      </c>
      <c r="D25" s="19">
        <f t="shared" si="3"/>
        <v>1.0940473289435076E-2</v>
      </c>
      <c r="E25" s="22">
        <f t="shared" si="4"/>
        <v>9.2741935483870983E-2</v>
      </c>
      <c r="F25" s="18">
        <f t="shared" si="0"/>
        <v>1.0678445648183729E-2</v>
      </c>
      <c r="G25" s="18">
        <f t="shared" si="5"/>
        <v>1.0793705647280711E-2</v>
      </c>
      <c r="H25" s="24">
        <f t="shared" si="6"/>
        <v>-34.552267685088566</v>
      </c>
      <c r="K25" s="18"/>
      <c r="L25" s="23"/>
    </row>
    <row r="26" spans="1:12" x14ac:dyDescent="0.2">
      <c r="A26">
        <v>0.91</v>
      </c>
      <c r="B26" s="58">
        <f t="shared" si="1"/>
        <v>0.18365287588294651</v>
      </c>
      <c r="C26" s="19">
        <f t="shared" si="2"/>
        <v>1.1065012920271585E-2</v>
      </c>
      <c r="D26" s="19">
        <f t="shared" si="3"/>
        <v>1.094391832263325E-2</v>
      </c>
      <c r="E26" s="22">
        <f t="shared" si="4"/>
        <v>9.1826437941473271E-2</v>
      </c>
      <c r="F26" s="18">
        <f t="shared" si="0"/>
        <v>1.0678497586003892E-2</v>
      </c>
      <c r="G26" s="18">
        <f t="shared" si="5"/>
        <v>1.0793758712357712E-2</v>
      </c>
      <c r="H26" s="24">
        <f t="shared" si="6"/>
        <v>-34.547521256018676</v>
      </c>
      <c r="K26" s="18"/>
      <c r="L26" s="23"/>
    </row>
    <row r="27" spans="1:12" x14ac:dyDescent="0.2">
      <c r="A27">
        <v>0.9</v>
      </c>
      <c r="B27" s="58">
        <f t="shared" si="1"/>
        <v>0.18181818181818182</v>
      </c>
      <c r="C27" s="19">
        <f t="shared" si="2"/>
        <v>1.1068574655924411E-2</v>
      </c>
      <c r="D27" s="19">
        <f t="shared" si="3"/>
        <v>1.0947402513910735E-2</v>
      </c>
      <c r="E27" s="22">
        <f t="shared" si="4"/>
        <v>9.0909090909090925E-2</v>
      </c>
      <c r="F27" s="18">
        <f t="shared" si="0"/>
        <v>1.0678546228911311E-2</v>
      </c>
      <c r="G27" s="18">
        <f t="shared" si="5"/>
        <v>1.0793808411014339E-2</v>
      </c>
      <c r="H27" s="24">
        <f t="shared" si="6"/>
        <v>-34.543075937894628</v>
      </c>
      <c r="K27" s="18"/>
      <c r="L27" s="23"/>
    </row>
    <row r="28" spans="1:12" x14ac:dyDescent="0.2">
      <c r="A28">
        <v>0.89</v>
      </c>
      <c r="B28" s="58">
        <f t="shared" si="1"/>
        <v>0.17997977755308392</v>
      </c>
      <c r="C28" s="19">
        <f t="shared" si="2"/>
        <v>1.1072177354111206E-2</v>
      </c>
      <c r="D28" s="19">
        <f t="shared" si="3"/>
        <v>1.0950926750932996E-2</v>
      </c>
      <c r="E28" s="22">
        <f t="shared" si="4"/>
        <v>8.9989888776541974E-2</v>
      </c>
      <c r="F28" s="18">
        <f t="shared" si="0"/>
        <v>1.0678591528011393E-2</v>
      </c>
      <c r="G28" s="18">
        <f t="shared" si="5"/>
        <v>1.0793854693293786E-2</v>
      </c>
      <c r="H28" s="24">
        <f t="shared" si="6"/>
        <v>-34.538936199124734</v>
      </c>
      <c r="K28" s="18"/>
      <c r="L28" s="23"/>
    </row>
    <row r="29" spans="1:12" x14ac:dyDescent="0.2">
      <c r="A29">
        <v>0.88</v>
      </c>
      <c r="B29" s="58">
        <f t="shared" si="1"/>
        <v>0.17813765182186234</v>
      </c>
      <c r="C29" s="19">
        <f t="shared" si="2"/>
        <v>1.1075821954203771E-2</v>
      </c>
      <c r="D29" s="19">
        <f t="shared" si="3"/>
        <v>1.0954491951747459E-2</v>
      </c>
      <c r="E29" s="22">
        <f t="shared" si="4"/>
        <v>8.9068825910931182E-2</v>
      </c>
      <c r="F29" s="18">
        <f t="shared" si="0"/>
        <v>1.0678633433323894E-2</v>
      </c>
      <c r="G29" s="18">
        <f t="shared" si="5"/>
        <v>1.0793897508130083E-2</v>
      </c>
      <c r="H29" s="24">
        <f t="shared" si="6"/>
        <v>-34.535106607327172</v>
      </c>
      <c r="K29" s="18"/>
      <c r="L29" s="23"/>
    </row>
    <row r="30" spans="1:12" x14ac:dyDescent="0.2">
      <c r="A30">
        <v>0.87</v>
      </c>
      <c r="B30" s="58">
        <f t="shared" si="1"/>
        <v>0.17629179331306993</v>
      </c>
      <c r="C30" s="19">
        <f t="shared" si="2"/>
        <v>1.1079509428100402E-2</v>
      </c>
      <c r="D30" s="19">
        <f t="shared" si="3"/>
        <v>1.0958099066182574E-2</v>
      </c>
      <c r="E30" s="22">
        <f t="shared" si="4"/>
        <v>8.8145896656534967E-2</v>
      </c>
      <c r="F30" s="18">
        <f t="shared" si="0"/>
        <v>1.0678671893746824E-2</v>
      </c>
      <c r="G30" s="18">
        <f t="shared" si="5"/>
        <v>1.0793936803311224E-2</v>
      </c>
      <c r="H30" s="24">
        <f t="shared" si="6"/>
        <v>-34.531591832627662</v>
      </c>
      <c r="K30" s="18"/>
      <c r="L30" s="23"/>
    </row>
    <row r="31" spans="1:12" x14ac:dyDescent="0.2">
      <c r="A31">
        <v>0.86</v>
      </c>
      <c r="B31" s="58">
        <f t="shared" si="1"/>
        <v>0.17444219066937119</v>
      </c>
      <c r="C31" s="19">
        <f t="shared" si="2"/>
        <v>1.1083240781741293E-2</v>
      </c>
      <c r="D31" s="19">
        <f t="shared" si="3"/>
        <v>1.0961749077328232E-2</v>
      </c>
      <c r="E31" s="22">
        <f t="shared" si="4"/>
        <v>8.7221095334685611E-2</v>
      </c>
      <c r="F31" s="18">
        <f t="shared" si="0"/>
        <v>1.0678706857018723E-2</v>
      </c>
      <c r="G31" s="18">
        <f t="shared" si="5"/>
        <v>1.0793972525440619E-2</v>
      </c>
      <c r="H31" s="24">
        <f t="shared" si="6"/>
        <v>-34.528396651107521</v>
      </c>
      <c r="K31" s="18"/>
      <c r="L31" s="23"/>
    </row>
    <row r="32" spans="1:12" x14ac:dyDescent="0.2">
      <c r="A32">
        <v>0.85</v>
      </c>
      <c r="B32" s="58">
        <f t="shared" si="1"/>
        <v>0.17258883248730963</v>
      </c>
      <c r="C32" s="19">
        <f t="shared" si="2"/>
        <v>1.1087017056713104E-2</v>
      </c>
      <c r="D32" s="19">
        <f t="shared" si="3"/>
        <v>1.0965443003103283E-2</v>
      </c>
      <c r="E32" s="22">
        <f t="shared" si="4"/>
        <v>8.6294416243654831E-2</v>
      </c>
      <c r="F32" s="18">
        <f t="shared" si="0"/>
        <v>1.0678738269679199E-2</v>
      </c>
      <c r="G32" s="18">
        <f t="shared" si="5"/>
        <v>1.0794004619896786E-2</v>
      </c>
      <c r="H32" s="24">
        <f t="shared" si="6"/>
        <v>-34.525525948409182</v>
      </c>
      <c r="K32" s="18"/>
      <c r="L32" s="23"/>
    </row>
    <row r="33" spans="1:12" x14ac:dyDescent="0.2">
      <c r="A33">
        <v>0.84</v>
      </c>
      <c r="B33" s="58">
        <f t="shared" si="1"/>
        <v>0.17073170731707316</v>
      </c>
      <c r="C33" s="19">
        <f t="shared" si="2"/>
        <v>1.1090839331949039E-2</v>
      </c>
      <c r="D33" s="19">
        <f t="shared" si="3"/>
        <v>1.0969181897916324E-2</v>
      </c>
      <c r="E33" s="22">
        <f t="shared" si="4"/>
        <v>8.5365853658536592E-2</v>
      </c>
      <c r="F33" s="18">
        <f t="shared" si="0"/>
        <v>1.0678766077027646E-2</v>
      </c>
      <c r="G33" s="18">
        <f t="shared" si="5"/>
        <v>1.0794033030791175E-2</v>
      </c>
      <c r="H33" s="24">
        <f t="shared" si="6"/>
        <v>-34.522984723508564</v>
      </c>
      <c r="K33" s="18"/>
      <c r="L33" s="23"/>
    </row>
    <row r="34" spans="1:12" x14ac:dyDescent="0.2">
      <c r="A34">
        <v>0.83</v>
      </c>
      <c r="B34" s="58">
        <f t="shared" si="1"/>
        <v>0.1688708036622584</v>
      </c>
      <c r="C34" s="19">
        <f t="shared" si="2"/>
        <v>1.1094708725531345E-2</v>
      </c>
      <c r="D34" s="19">
        <f t="shared" si="3"/>
        <v>1.0972966854426574E-2</v>
      </c>
      <c r="E34" s="22">
        <f t="shared" si="4"/>
        <v>8.44354018311292E-2</v>
      </c>
      <c r="F34" s="18">
        <f t="shared" si="0"/>
        <v>1.0678790223079998E-2</v>
      </c>
      <c r="G34" s="18">
        <f t="shared" si="5"/>
        <v>1.0794057700923987E-2</v>
      </c>
      <c r="H34" s="24">
        <f t="shared" si="6"/>
        <v>-34.520778092666738</v>
      </c>
      <c r="K34" s="18"/>
      <c r="L34" s="23"/>
    </row>
    <row r="35" spans="1:12" x14ac:dyDescent="0.2">
      <c r="A35">
        <v>0.82</v>
      </c>
      <c r="B35" s="58">
        <f t="shared" si="1"/>
        <v>0.16700610997963339</v>
      </c>
      <c r="C35" s="19">
        <f t="shared" si="2"/>
        <v>1.1098626396603719E-2</v>
      </c>
      <c r="D35" s="19">
        <f t="shared" si="3"/>
        <v>1.0976799005412039E-2</v>
      </c>
      <c r="E35" s="22">
        <f t="shared" si="4"/>
        <v>8.3503054989816708E-2</v>
      </c>
      <c r="F35" s="18">
        <f t="shared" si="0"/>
        <v>1.0678810650523441E-2</v>
      </c>
      <c r="G35" s="18">
        <f t="shared" si="5"/>
        <v>1.0794078571737902E-2</v>
      </c>
      <c r="H35" s="24">
        <f t="shared" si="6"/>
        <v>-34.518911293568763</v>
      </c>
      <c r="K35" s="18"/>
      <c r="L35" s="23"/>
    </row>
    <row r="36" spans="1:12" x14ac:dyDescent="0.2">
      <c r="A36">
        <v>0.81</v>
      </c>
      <c r="B36" s="58">
        <f t="shared" si="1"/>
        <v>0.16513761467889909</v>
      </c>
      <c r="C36" s="19">
        <f t="shared" si="2"/>
        <v>1.1102593547401748E-2</v>
      </c>
      <c r="D36" s="19">
        <f t="shared" si="3"/>
        <v>1.0980679525753035E-2</v>
      </c>
      <c r="E36" s="22">
        <f t="shared" si="4"/>
        <v>8.256880733944956E-2</v>
      </c>
      <c r="F36" s="18">
        <f t="shared" si="0"/>
        <v>1.0678827300668936E-2</v>
      </c>
      <c r="G36" s="18">
        <f t="shared" si="5"/>
        <v>1.0794095583269585E-2</v>
      </c>
      <c r="H36" s="24">
        <f t="shared" si="6"/>
        <v>-34.517389689661449</v>
      </c>
      <c r="K36" s="18"/>
      <c r="L36" s="23"/>
    </row>
    <row r="37" spans="1:12" x14ac:dyDescent="0.2">
      <c r="A37">
        <v>0.8</v>
      </c>
      <c r="B37" s="58">
        <f t="shared" si="1"/>
        <v>0.16326530612244899</v>
      </c>
      <c r="C37" s="19">
        <f t="shared" si="2"/>
        <v>1.1106611425410249E-2</v>
      </c>
      <c r="D37" s="19">
        <f t="shared" si="3"/>
        <v>1.0984609634539601E-2</v>
      </c>
      <c r="E37" s="22">
        <f t="shared" si="4"/>
        <v>8.1632653061224511E-2</v>
      </c>
      <c r="F37" s="18">
        <f t="shared" si="0"/>
        <v>1.0678840113401429E-2</v>
      </c>
      <c r="G37" s="18">
        <f t="shared" si="5"/>
        <v>1.079410867409881E-2</v>
      </c>
      <c r="H37" s="24">
        <f t="shared" si="6"/>
        <v>-34.516218774704008</v>
      </c>
      <c r="K37" s="18"/>
      <c r="L37" s="23"/>
    </row>
    <row r="38" spans="1:12" x14ac:dyDescent="0.2">
      <c r="A38">
        <v>0.79</v>
      </c>
      <c r="B38" s="58">
        <f t="shared" si="1"/>
        <v>0.1613891726251277</v>
      </c>
      <c r="C38" s="19">
        <f t="shared" si="2"/>
        <v>1.1110681325657078E-2</v>
      </c>
      <c r="D38" s="19">
        <f t="shared" si="3"/>
        <v>1.0988590597312229E-2</v>
      </c>
      <c r="E38" s="22">
        <f t="shared" si="4"/>
        <v>8.0694586312563862E-2</v>
      </c>
      <c r="F38" s="18">
        <f t="shared" si="0"/>
        <v>1.0678849027127577E-2</v>
      </c>
      <c r="G38" s="18">
        <f t="shared" si="5"/>
        <v>1.0794117781295061E-2</v>
      </c>
      <c r="H38" s="24">
        <f t="shared" si="6"/>
        <v>-34.515404177543843</v>
      </c>
      <c r="K38" s="18"/>
      <c r="L38" s="23"/>
    </row>
    <row r="39" spans="1:12" x14ac:dyDescent="0.2">
      <c r="A39">
        <v>0.78</v>
      </c>
      <c r="B39" s="58">
        <f t="shared" si="1"/>
        <v>0.15950920245398773</v>
      </c>
      <c r="C39" s="19">
        <f t="shared" si="2"/>
        <v>1.1114804593153983E-2</v>
      </c>
      <c r="D39" s="19">
        <f t="shared" si="3"/>
        <v>1.0992623728446236E-2</v>
      </c>
      <c r="E39" s="22">
        <f t="shared" si="4"/>
        <v>7.9754601226993876E-2</v>
      </c>
      <c r="F39" s="18">
        <f t="shared" si="0"/>
        <v>1.0678853978720898E-2</v>
      </c>
      <c r="G39" s="18">
        <f t="shared" si="5"/>
        <v>1.0794122840361495E-2</v>
      </c>
      <c r="H39" s="24">
        <f t="shared" si="6"/>
        <v>-34.514951667129253</v>
      </c>
      <c r="K39" s="18"/>
      <c r="L39" s="23"/>
    </row>
    <row r="40" spans="1:12" x14ac:dyDescent="0.2">
      <c r="A40">
        <v>0.77</v>
      </c>
      <c r="B40" s="58">
        <f t="shared" si="1"/>
        <v>0.15762538382804506</v>
      </c>
      <c r="C40" s="19">
        <f t="shared" si="2"/>
        <v>1.1118982625495839E-2</v>
      </c>
      <c r="D40" s="19">
        <f t="shared" si="3"/>
        <v>1.0996710393690781E-2</v>
      </c>
      <c r="E40" s="22">
        <f t="shared" si="4"/>
        <v>7.8812691914022528E-2</v>
      </c>
      <c r="F40" s="18">
        <f t="shared" si="0"/>
        <v>1.0678854903464097E-2</v>
      </c>
      <c r="G40" s="18">
        <f t="shared" si="5"/>
        <v>1.0794123785176022E-2</v>
      </c>
      <c r="H40" s="24">
        <f t="shared" si="6"/>
        <v>-34.514867157779847</v>
      </c>
      <c r="K40" s="18"/>
      <c r="L40" s="23"/>
    </row>
    <row r="41" spans="1:12" x14ac:dyDescent="0.2">
      <c r="A41">
        <v>0.76</v>
      </c>
      <c r="B41" s="58">
        <f t="shared" si="1"/>
        <v>0.15573770491803279</v>
      </c>
      <c r="C41" s="19">
        <f t="shared" si="2"/>
        <v>1.1123216875630844E-2</v>
      </c>
      <c r="D41" s="19">
        <f t="shared" si="3"/>
        <v>1.1000852012874917E-2</v>
      </c>
      <c r="E41" s="22">
        <f t="shared" si="4"/>
        <v>7.7868852459016411E-2</v>
      </c>
      <c r="F41" s="18">
        <f t="shared" si="0"/>
        <v>1.0678851734988448E-2</v>
      </c>
      <c r="G41" s="18">
        <f t="shared" si="5"/>
        <v>1.079412054792938E-2</v>
      </c>
      <c r="H41" s="24">
        <f t="shared" si="6"/>
        <v>-34.515156714724604</v>
      </c>
      <c r="K41" s="18"/>
      <c r="L41" s="23"/>
    </row>
    <row r="42" spans="1:12" x14ac:dyDescent="0.2">
      <c r="A42">
        <v>0.75</v>
      </c>
      <c r="B42" s="58">
        <f t="shared" si="1"/>
        <v>0.15384615384615385</v>
      </c>
      <c r="C42" s="19">
        <f t="shared" si="2"/>
        <v>1.1127508854815268E-2</v>
      </c>
      <c r="D42" s="19">
        <f t="shared" si="3"/>
        <v>1.1005050062793844E-2</v>
      </c>
      <c r="E42" s="22">
        <f t="shared" si="4"/>
        <v>7.6923076923076941E-2</v>
      </c>
      <c r="F42" s="18">
        <f t="shared" si="0"/>
        <v>1.067884440521002E-2</v>
      </c>
      <c r="G42" s="18">
        <f t="shared" si="5"/>
        <v>1.0794113059059968E-2</v>
      </c>
      <c r="H42" s="24">
        <f t="shared" si="6"/>
        <v>-34.515826559931348</v>
      </c>
      <c r="K42" s="18"/>
      <c r="L42" s="23"/>
    </row>
    <row r="43" spans="1:12" x14ac:dyDescent="0.2">
      <c r="A43">
        <v>0.74</v>
      </c>
      <c r="B43" s="58">
        <f t="shared" si="1"/>
        <v>0.15195071868583163</v>
      </c>
      <c r="C43" s="19">
        <f t="shared" si="2"/>
        <v>1.1131860135767726E-2</v>
      </c>
      <c r="D43" s="19">
        <f t="shared" si="3"/>
        <v>1.1009306080290078E-2</v>
      </c>
      <c r="E43" s="22">
        <f t="shared" si="4"/>
        <v>7.5975359342915813E-2</v>
      </c>
      <c r="F43" s="18">
        <f t="shared" si="0"/>
        <v>1.0678832844262522E-2</v>
      </c>
      <c r="G43" s="18">
        <f t="shared" si="5"/>
        <v>1.0794101247185259E-2</v>
      </c>
      <c r="H43" s="24">
        <f t="shared" si="6"/>
        <v>-34.516883078241634</v>
      </c>
      <c r="K43" s="18"/>
      <c r="L43" s="23"/>
    </row>
    <row r="44" spans="1:12" x14ac:dyDescent="0.2">
      <c r="A44">
        <v>0.73</v>
      </c>
      <c r="B44" s="58">
        <f t="shared" si="1"/>
        <v>0.15005138746145941</v>
      </c>
      <c r="C44" s="19">
        <f t="shared" si="2"/>
        <v>1.1136272356039336E-2</v>
      </c>
      <c r="D44" s="19">
        <f t="shared" si="3"/>
        <v>1.1013621665545446E-2</v>
      </c>
      <c r="E44" s="22">
        <f t="shared" si="4"/>
        <v>7.5025693730729703E-2</v>
      </c>
      <c r="F44" s="18">
        <f t="shared" si="0"/>
        <v>1.0678816980426567E-2</v>
      </c>
      <c r="G44" s="18">
        <f t="shared" si="5"/>
        <v>1.0794085039029525E-2</v>
      </c>
      <c r="H44" s="24">
        <f t="shared" si="6"/>
        <v>-34.518332823835095</v>
      </c>
      <c r="K44" s="18"/>
      <c r="L44" s="23"/>
    </row>
    <row r="45" spans="1:12" x14ac:dyDescent="0.2">
      <c r="A45">
        <v>0.72</v>
      </c>
      <c r="B45" s="58">
        <f t="shared" si="1"/>
        <v>0.14814814814814817</v>
      </c>
      <c r="C45" s="19">
        <f t="shared" si="2"/>
        <v>1.1140747221617738E-2</v>
      </c>
      <c r="D45" s="19">
        <f t="shared" si="3"/>
        <v>1.1017998485601484E-2</v>
      </c>
      <c r="E45" s="22">
        <f t="shared" si="4"/>
        <v>7.407407407407407E-2</v>
      </c>
      <c r="F45" s="18">
        <f t="shared" si="0"/>
        <v>1.0678796740055082E-2</v>
      </c>
      <c r="G45" s="18">
        <f t="shared" si="5"/>
        <v>1.0794064359347629E-2</v>
      </c>
      <c r="H45" s="24">
        <f t="shared" si="6"/>
        <v>-34.520182527045804</v>
      </c>
      <c r="K45" s="18"/>
      <c r="L45" s="23"/>
    </row>
    <row r="46" spans="1:12" x14ac:dyDescent="0.2">
      <c r="A46">
        <v>0.71</v>
      </c>
      <c r="B46" s="58">
        <f t="shared" si="1"/>
        <v>0.1462409886714727</v>
      </c>
      <c r="C46" s="19">
        <f t="shared" si="2"/>
        <v>1.1145286510784651E-2</v>
      </c>
      <c r="D46" s="19">
        <f t="shared" si="3"/>
        <v>1.1022438278127482E-2</v>
      </c>
      <c r="E46" s="22">
        <f t="shared" si="4"/>
        <v>7.312049433573635E-2</v>
      </c>
      <c r="F46" s="18">
        <f t="shared" si="0"/>
        <v>1.0678772047494628E-2</v>
      </c>
      <c r="G46" s="18">
        <f t="shared" si="5"/>
        <v>1.0794039130844655E-2</v>
      </c>
      <c r="H46" s="24">
        <f t="shared" si="6"/>
        <v>-34.522439101551505</v>
      </c>
      <c r="K46" s="18"/>
      <c r="L46" s="23"/>
    </row>
    <row r="47" spans="1:12" x14ac:dyDescent="0.2">
      <c r="A47">
        <v>0.7</v>
      </c>
      <c r="B47" s="58">
        <f t="shared" si="1"/>
        <v>0.14432989690721651</v>
      </c>
      <c r="C47" s="19">
        <f t="shared" si="2"/>
        <v>1.1149892078248742E-2</v>
      </c>
      <c r="D47" s="19">
        <f t="shared" si="3"/>
        <v>1.1026942855457376E-2</v>
      </c>
      <c r="E47" s="22">
        <f t="shared" si="4"/>
        <v>7.2164948453608241E-2</v>
      </c>
      <c r="F47" s="18">
        <f t="shared" si="0"/>
        <v>1.0678742825002318E-2</v>
      </c>
      <c r="G47" s="18">
        <f t="shared" si="5"/>
        <v>1.0794009274091026E-2</v>
      </c>
      <c r="H47" s="24">
        <f t="shared" si="6"/>
        <v>-34.525109651965536</v>
      </c>
      <c r="K47" s="18"/>
      <c r="L47" s="23"/>
    </row>
    <row r="48" spans="1:12" x14ac:dyDescent="0.2">
      <c r="A48">
        <v>0.69</v>
      </c>
      <c r="B48" s="58">
        <f t="shared" si="1"/>
        <v>0.14241486068111456</v>
      </c>
      <c r="C48" s="19">
        <f t="shared" si="2"/>
        <v>1.11545658595776E-2</v>
      </c>
      <c r="D48" s="19">
        <f t="shared" si="3"/>
        <v>1.1031514108918807E-2</v>
      </c>
      <c r="E48" s="22">
        <f t="shared" si="4"/>
        <v>7.1207430340557265E-2</v>
      </c>
      <c r="F48" s="18">
        <f t="shared" si="0"/>
        <v>1.0678708992658029E-2</v>
      </c>
      <c r="G48" s="18">
        <f t="shared" si="5"/>
        <v>1.0793974707432815E-2</v>
      </c>
      <c r="H48" s="24">
        <f t="shared" si="6"/>
        <v>-34.528201481859199</v>
      </c>
      <c r="K48" s="18"/>
      <c r="L48" s="23"/>
    </row>
    <row r="49" spans="1:12" x14ac:dyDescent="0.2">
      <c r="A49">
        <v>0.68</v>
      </c>
      <c r="B49" s="58">
        <f t="shared" si="1"/>
        <v>0.14049586776859505</v>
      </c>
      <c r="C49" s="19">
        <f t="shared" si="2"/>
        <v>1.1159309875955222E-2</v>
      </c>
      <c r="D49" s="19">
        <f t="shared" ref="D49:D67" si="7">C49/(1+C49)</f>
        <v>1.1036154013480031E-2</v>
      </c>
      <c r="E49" s="22">
        <f t="shared" si="4"/>
        <v>7.0247933884297523E-2</v>
      </c>
      <c r="F49" s="18">
        <f t="shared" ref="F49:F67" si="8">D49*E49+$D$11*(1-E49)</f>
        <v>1.0678670468271563E-2</v>
      </c>
      <c r="G49" s="18">
        <f t="shared" si="5"/>
        <v>1.0793935346896903E-2</v>
      </c>
      <c r="H49" s="24">
        <f t="shared" si="6"/>
        <v>-34.531722102244863</v>
      </c>
      <c r="K49" s="18"/>
      <c r="L49" s="23"/>
    </row>
    <row r="50" spans="1:12" x14ac:dyDescent="0.2">
      <c r="A50">
        <v>0.67</v>
      </c>
      <c r="B50" s="58">
        <f t="shared" si="1"/>
        <v>0.13857290589451915</v>
      </c>
      <c r="C50" s="19">
        <f t="shared" si="2"/>
        <v>1.1164126239294079E-2</v>
      </c>
      <c r="D50" s="19">
        <f t="shared" si="7"/>
        <v>1.1040864632743176E-2</v>
      </c>
      <c r="E50" s="22">
        <f t="shared" si="4"/>
        <v>6.9286452947259575E-2</v>
      </c>
      <c r="F50" s="18">
        <f t="shared" si="8"/>
        <v>1.0678627167284412E-2</v>
      </c>
      <c r="G50" s="18">
        <f t="shared" si="5"/>
        <v>1.0793891106090621E-2</v>
      </c>
      <c r="H50" s="24">
        <f t="shared" si="6"/>
        <v>-34.535679240552788</v>
      </c>
      <c r="K50" s="18"/>
      <c r="L50" s="23"/>
    </row>
    <row r="51" spans="1:12" x14ac:dyDescent="0.2">
      <c r="A51">
        <v>0.66</v>
      </c>
      <c r="B51" s="58">
        <f t="shared" si="1"/>
        <v>0.13664596273291926</v>
      </c>
      <c r="C51" s="19">
        <f t="shared" si="2"/>
        <v>1.1169017157733887E-2</v>
      </c>
      <c r="D51" s="19">
        <f t="shared" si="7"/>
        <v>1.1045648124315121E-2</v>
      </c>
      <c r="E51" s="22">
        <f t="shared" si="4"/>
        <v>6.8322981366459631E-2</v>
      </c>
      <c r="F51" s="18">
        <f t="shared" si="8"/>
        <v>1.0678579002665662E-2</v>
      </c>
      <c r="G51" s="18">
        <f t="shared" si="5"/>
        <v>1.0793841896095399E-2</v>
      </c>
      <c r="H51" s="24">
        <f t="shared" si="6"/>
        <v>-34.540080850143262</v>
      </c>
      <c r="K51" s="18"/>
      <c r="L51" s="23"/>
    </row>
    <row r="52" spans="1:12" x14ac:dyDescent="0.2">
      <c r="A52">
        <v>0.65</v>
      </c>
      <c r="B52" s="58">
        <f t="shared" si="1"/>
        <v>0.13471502590673576</v>
      </c>
      <c r="C52" s="19">
        <f t="shared" si="2"/>
        <v>1.1173984941562741E-2</v>
      </c>
      <c r="D52" s="19">
        <f t="shared" si="7"/>
        <v>1.1050506745590872E-2</v>
      </c>
      <c r="E52" s="22">
        <f t="shared" si="4"/>
        <v>6.7357512953367879E-2</v>
      </c>
      <c r="F52" s="18">
        <f t="shared" si="8"/>
        <v>1.0678525884801698E-2</v>
      </c>
      <c r="G52" s="18">
        <f t="shared" si="5"/>
        <v>1.0793787625354094E-2</v>
      </c>
      <c r="H52" s="24">
        <f t="shared" si="6"/>
        <v>-34.544935120385254</v>
      </c>
      <c r="K52" s="18"/>
      <c r="L52" s="23"/>
    </row>
    <row r="53" spans="1:12" x14ac:dyDescent="0.2">
      <c r="A53">
        <v>0.64</v>
      </c>
      <c r="B53" s="58">
        <f t="shared" si="1"/>
        <v>0.13278008298755187</v>
      </c>
      <c r="C53" s="19">
        <f t="shared" si="2"/>
        <v>1.1179032009600067E-2</v>
      </c>
      <c r="D53" s="19">
        <f t="shared" si="7"/>
        <v>1.1055442859987956E-2</v>
      </c>
      <c r="E53" s="22">
        <f t="shared" si="4"/>
        <v>6.6390041493775934E-2</v>
      </c>
      <c r="F53" s="18">
        <f t="shared" si="8"/>
        <v>1.067846772137911E-2</v>
      </c>
      <c r="G53" s="18">
        <f t="shared" si="5"/>
        <v>1.0793728199551359E-2</v>
      </c>
      <c r="H53" s="24">
        <f t="shared" si="6"/>
        <v>-34.550250487356159</v>
      </c>
      <c r="K53" s="18"/>
      <c r="L53" s="23"/>
    </row>
    <row r="54" spans="1:12" x14ac:dyDescent="0.2">
      <c r="A54">
        <v>0.63</v>
      </c>
      <c r="B54" s="58">
        <f t="shared" si="1"/>
        <v>0.13084112149532712</v>
      </c>
      <c r="C54" s="19">
        <f t="shared" si="2"/>
        <v>1.1184160896085281E-2</v>
      </c>
      <c r="D54" s="19">
        <f t="shared" si="7"/>
        <v>1.1060458943674679E-2</v>
      </c>
      <c r="E54" s="22">
        <f t="shared" si="4"/>
        <v>6.5420560747663559E-2</v>
      </c>
      <c r="F54" s="18">
        <f t="shared" si="8"/>
        <v>1.0678404417260371E-2</v>
      </c>
      <c r="G54" s="18">
        <f t="shared" si="5"/>
        <v>1.0793663521486637E-2</v>
      </c>
      <c r="H54" s="24">
        <f t="shared" si="6"/>
        <v>-34.556035645202485</v>
      </c>
      <c r="K54" s="18"/>
      <c r="L54" s="23"/>
    </row>
    <row r="55" spans="1:12" x14ac:dyDescent="0.2">
      <c r="A55">
        <v>0.62</v>
      </c>
      <c r="B55" s="58">
        <f t="shared" si="1"/>
        <v>0.12889812889812888</v>
      </c>
      <c r="C55" s="19">
        <f t="shared" si="2"/>
        <v>1.1189374258120935E-2</v>
      </c>
      <c r="D55" s="19">
        <f t="shared" si="7"/>
        <v>1.1065557592839859E-2</v>
      </c>
      <c r="E55" s="22">
        <f t="shared" si="4"/>
        <v>6.4449064449064453E-2</v>
      </c>
      <c r="F55" s="18">
        <f t="shared" si="8"/>
        <v>1.0678335874351666E-2</v>
      </c>
      <c r="G55" s="18">
        <f t="shared" si="5"/>
        <v>1.079359349093913E-2</v>
      </c>
      <c r="H55" s="24">
        <f t="shared" si="6"/>
        <v>-34.562299558217433</v>
      </c>
      <c r="K55" s="18"/>
      <c r="L55" s="23"/>
    </row>
    <row r="56" spans="1:12" x14ac:dyDescent="0.2">
      <c r="A56">
        <v>0.61</v>
      </c>
      <c r="B56" s="58">
        <f t="shared" si="1"/>
        <v>0.12695109261186266</v>
      </c>
      <c r="C56" s="19">
        <f t="shared" si="2"/>
        <v>1.1194674883724757E-2</v>
      </c>
      <c r="D56" s="19">
        <f t="shared" si="7"/>
        <v>1.1070741531557224E-2</v>
      </c>
      <c r="E56" s="22">
        <f t="shared" si="4"/>
        <v>6.3475546305931316E-2</v>
      </c>
      <c r="F56" s="18">
        <f t="shared" si="8"/>
        <v>1.067826199146225E-2</v>
      </c>
      <c r="G56" s="18">
        <f t="shared" si="5"/>
        <v>1.0793518004524124E-2</v>
      </c>
      <c r="H56" s="24">
        <f t="shared" si="6"/>
        <v>-34.569051473691935</v>
      </c>
      <c r="K56" s="18"/>
      <c r="L56" s="23"/>
    </row>
    <row r="57" spans="1:12" x14ac:dyDescent="0.2">
      <c r="A57">
        <v>0.6</v>
      </c>
      <c r="B57" s="58">
        <f t="shared" si="1"/>
        <v>0.125</v>
      </c>
      <c r="C57" s="19">
        <f t="shared" si="2"/>
        <v>1.120006570055126E-2</v>
      </c>
      <c r="D57" s="19">
        <f t="shared" si="7"/>
        <v>1.1076013620303658E-2</v>
      </c>
      <c r="E57" s="22">
        <f t="shared" si="4"/>
        <v>6.25E-2</v>
      </c>
      <c r="F57" s="18">
        <f t="shared" si="8"/>
        <v>1.0678182664154637E-2</v>
      </c>
      <c r="G57" s="18">
        <f t="shared" si="5"/>
        <v>1.079343695553993E-2</v>
      </c>
      <c r="H57" s="24">
        <f t="shared" si="6"/>
        <v>-34.576300935605595</v>
      </c>
      <c r="K57" s="18"/>
      <c r="L57" s="23"/>
    </row>
    <row r="58" spans="1:12" x14ac:dyDescent="0.2">
      <c r="A58">
        <v>0.59</v>
      </c>
      <c r="B58" s="58">
        <f t="shared" si="1"/>
        <v>0.12304483837330552</v>
      </c>
      <c r="C58" s="19">
        <f t="shared" si="2"/>
        <v>1.1205549785350816E-2</v>
      </c>
      <c r="D58" s="19">
        <f t="shared" si="7"/>
        <v>1.108137686519761E-2</v>
      </c>
      <c r="E58" s="22">
        <f t="shared" si="4"/>
        <v>6.1522419186652764E-2</v>
      </c>
      <c r="F58" s="18">
        <f t="shared" si="8"/>
        <v>1.067809778458487E-2</v>
      </c>
      <c r="G58" s="18">
        <f t="shared" si="5"/>
        <v>1.0793350233804708E-2</v>
      </c>
      <c r="H58" s="24">
        <f t="shared" si="6"/>
        <v>-34.584057799221135</v>
      </c>
      <c r="K58" s="18"/>
      <c r="L58" s="23"/>
    </row>
    <row r="59" spans="1:12" x14ac:dyDescent="0.2">
      <c r="A59">
        <v>0.57999999999999996</v>
      </c>
      <c r="B59" s="58">
        <f t="shared" si="1"/>
        <v>0.12108559498956158</v>
      </c>
      <c r="C59" s="19">
        <f t="shared" si="2"/>
        <v>1.1211130374242203E-2</v>
      </c>
      <c r="D59" s="19">
        <f t="shared" si="7"/>
        <v>1.10868344280319E-2</v>
      </c>
      <c r="E59" s="22">
        <f t="shared" si="4"/>
        <v>6.0542797494780788E-2</v>
      </c>
      <c r="F59" s="18">
        <f t="shared" si="8"/>
        <v>1.0678007241332027E-2</v>
      </c>
      <c r="G59" s="18">
        <f t="shared" si="5"/>
        <v>1.0793257725482289E-2</v>
      </c>
      <c r="H59" s="24">
        <f t="shared" si="6"/>
        <v>-34.592332246664689</v>
      </c>
      <c r="K59" s="18"/>
      <c r="L59" s="23"/>
    </row>
    <row r="60" spans="1:12" x14ac:dyDescent="0.2">
      <c r="A60">
        <v>0.56999999999999995</v>
      </c>
      <c r="B60" s="58">
        <f t="shared" si="1"/>
        <v>0.11912225705329152</v>
      </c>
      <c r="C60" s="19">
        <f t="shared" si="2"/>
        <v>1.1216810873884004E-2</v>
      </c>
      <c r="D60" s="19">
        <f t="shared" si="7"/>
        <v>1.1092389637184279E-2</v>
      </c>
      <c r="E60" s="22">
        <f t="shared" si="4"/>
        <v>5.9561128526645767E-2</v>
      </c>
      <c r="F60" s="18">
        <f t="shared" si="8"/>
        <v>1.0677910919216025E-2</v>
      </c>
      <c r="G60" s="18">
        <f t="shared" si="5"/>
        <v>1.0793159312896036E-2</v>
      </c>
      <c r="H60" s="24">
        <f t="shared" si="6"/>
        <v>-34.601134803574737</v>
      </c>
      <c r="K60" s="18"/>
      <c r="L60" s="23"/>
    </row>
    <row r="61" spans="1:12" x14ac:dyDescent="0.2">
      <c r="A61">
        <v>0.56000000000000005</v>
      </c>
      <c r="B61" s="58">
        <f t="shared" si="1"/>
        <v>0.11715481171548117</v>
      </c>
      <c r="C61" s="19">
        <f t="shared" si="2"/>
        <v>1.1222594873640756E-2</v>
      </c>
      <c r="D61" s="19">
        <f t="shared" si="7"/>
        <v>1.1098045999499343E-2</v>
      </c>
      <c r="E61" s="22">
        <f t="shared" si="4"/>
        <v>5.85774058577406E-2</v>
      </c>
      <c r="F61" s="18">
        <f t="shared" si="8"/>
        <v>1.0677808699102714E-2</v>
      </c>
      <c r="G61" s="18">
        <f t="shared" si="5"/>
        <v>1.0793054874329725E-2</v>
      </c>
      <c r="H61" s="24">
        <f t="shared" si="6"/>
        <v>-34.610476356911946</v>
      </c>
      <c r="K61" s="18"/>
      <c r="L61" s="23"/>
    </row>
    <row r="62" spans="1:12" x14ac:dyDescent="0.2">
      <c r="A62">
        <v>0.55000000000000004</v>
      </c>
      <c r="B62" s="58">
        <f t="shared" si="1"/>
        <v>0.11518324607329843</v>
      </c>
      <c r="C62" s="19">
        <f t="shared" si="2"/>
        <v>1.1228486158852019E-2</v>
      </c>
      <c r="D62" s="19">
        <f t="shared" si="7"/>
        <v>1.1103807213247508E-2</v>
      </c>
      <c r="E62" s="22">
        <f t="shared" si="4"/>
        <v>5.7591623036649227E-2</v>
      </c>
      <c r="F62" s="18">
        <f t="shared" si="8"/>
        <v>1.0677700457695127E-2</v>
      </c>
      <c r="G62" s="18">
        <f t="shared" si="5"/>
        <v>1.0792944283814289E-2</v>
      </c>
      <c r="H62" s="24">
        <f t="shared" si="6"/>
        <v>-34.620368174035022</v>
      </c>
      <c r="K62" s="18"/>
      <c r="L62" s="23"/>
    </row>
    <row r="63" spans="1:12" x14ac:dyDescent="0.2">
      <c r="A63">
        <v>0.54</v>
      </c>
      <c r="B63" s="58">
        <f t="shared" si="1"/>
        <v>0.11320754716981134</v>
      </c>
      <c r="C63" s="19">
        <f t="shared" si="2"/>
        <v>1.1234488725326376E-2</v>
      </c>
      <c r="D63" s="19">
        <f t="shared" si="7"/>
        <v>1.1109677182280035E-2</v>
      </c>
      <c r="E63" s="22">
        <f t="shared" si="4"/>
        <v>5.6603773584905669E-2</v>
      </c>
      <c r="F63" s="18">
        <f t="shared" si="8"/>
        <v>1.0677586067309595E-2</v>
      </c>
      <c r="G63" s="18">
        <f t="shared" si="5"/>
        <v>1.0792827410899089E-2</v>
      </c>
      <c r="H63" s="24">
        <f t="shared" si="6"/>
        <v>-34.630821923158472</v>
      </c>
      <c r="K63" s="18"/>
      <c r="L63" s="23"/>
    </row>
    <row r="64" spans="1:12" x14ac:dyDescent="0.2">
      <c r="A64">
        <v>0.53</v>
      </c>
      <c r="B64" s="58">
        <f t="shared" si="1"/>
        <v>0.11122770199370409</v>
      </c>
      <c r="C64" s="19">
        <f t="shared" si="2"/>
        <v>1.1240606795198517E-2</v>
      </c>
      <c r="D64" s="19">
        <f t="shared" si="7"/>
        <v>1.1115660031515151E-2</v>
      </c>
      <c r="E64" s="22">
        <f t="shared" si="4"/>
        <v>5.5613850996852052E-2</v>
      </c>
      <c r="F64" s="18">
        <f t="shared" si="8"/>
        <v>1.0677465395635398E-2</v>
      </c>
      <c r="G64" s="18">
        <f t="shared" si="5"/>
        <v>1.0792704120406369E-2</v>
      </c>
      <c r="H64" s="24">
        <f t="shared" si="6"/>
        <v>-34.641849695315919</v>
      </c>
      <c r="K64" s="18"/>
      <c r="L64" s="23"/>
    </row>
    <row r="65" spans="1:12" x14ac:dyDescent="0.2">
      <c r="A65">
        <v>0.52</v>
      </c>
      <c r="B65" s="58">
        <f t="shared" si="1"/>
        <v>0.10924369747899161</v>
      </c>
      <c r="C65" s="19">
        <f t="shared" si="2"/>
        <v>1.1246844834305977E-2</v>
      </c>
      <c r="D65" s="19">
        <f t="shared" si="7"/>
        <v>1.1121760123908012E-2</v>
      </c>
      <c r="E65" s="22">
        <f t="shared" si="4"/>
        <v>5.4621848739495805E-2</v>
      </c>
      <c r="F65" s="18">
        <f t="shared" si="8"/>
        <v>1.0677338305476311E-2</v>
      </c>
      <c r="G65" s="18">
        <f t="shared" si="5"/>
        <v>1.079257427216722E-2</v>
      </c>
      <c r="H65" s="24">
        <f t="shared" si="6"/>
        <v>-34.653464027976753</v>
      </c>
      <c r="K65" s="18"/>
      <c r="L65" s="23"/>
    </row>
    <row r="66" spans="1:12" x14ac:dyDescent="0.2">
      <c r="A66">
        <v>0.51</v>
      </c>
      <c r="B66" s="58">
        <f t="shared" si="1"/>
        <v>0.10725552050473186</v>
      </c>
      <c r="C66" s="19">
        <f t="shared" si="2"/>
        <v>1.1253207571263565E-2</v>
      </c>
      <c r="D66" s="19">
        <f t="shared" si="7"/>
        <v>1.1127982079078396E-2</v>
      </c>
      <c r="E66" s="22">
        <f t="shared" si="4"/>
        <v>5.3627760252365937E-2</v>
      </c>
      <c r="F66" s="18">
        <f t="shared" si="8"/>
        <v>1.0677204654472377E-2</v>
      </c>
      <c r="G66" s="18">
        <f t="shared" si="5"/>
        <v>1.0792437720737336E-2</v>
      </c>
      <c r="H66" s="24">
        <f t="shared" si="6"/>
        <v>-34.665677930470821</v>
      </c>
      <c r="K66" s="18"/>
      <c r="L66" s="23"/>
    </row>
    <row r="67" spans="1:12" x14ac:dyDescent="0.2">
      <c r="A67">
        <v>0.5</v>
      </c>
      <c r="B67" s="59">
        <f t="shared" si="1"/>
        <v>0.10526315789473684</v>
      </c>
      <c r="C67" s="19">
        <f t="shared" si="2"/>
        <v>1.1259700018438222E-2</v>
      </c>
      <c r="D67" s="19">
        <f t="shared" si="7"/>
        <v>1.1134330793794042E-2</v>
      </c>
      <c r="E67" s="22">
        <f t="shared" si="4"/>
        <v>5.2631578947368425E-2</v>
      </c>
      <c r="F67" s="18">
        <f t="shared" si="8"/>
        <v>1.0677064294799929E-2</v>
      </c>
      <c r="G67" s="18">
        <f t="shared" si="5"/>
        <v>1.0792294315090555E-2</v>
      </c>
      <c r="H67" s="60">
        <f t="shared" si="6"/>
        <v>-34.678504911399457</v>
      </c>
      <c r="K67" s="18"/>
      <c r="L67" s="23"/>
    </row>
    <row r="69" spans="1:12" x14ac:dyDescent="0.2">
      <c r="D69" s="20"/>
    </row>
    <row r="70" spans="1:12" x14ac:dyDescent="0.2">
      <c r="E70" s="22"/>
    </row>
    <row r="71" spans="1:12" x14ac:dyDescent="0.2">
      <c r="E71" s="22"/>
    </row>
  </sheetData>
  <mergeCells count="1">
    <mergeCell ref="F5:G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1F7D-2603-4515-AD13-77734248307E}">
  <dimension ref="A1:H95"/>
  <sheetViews>
    <sheetView topLeftCell="A4" zoomScale="50" workbookViewId="0">
      <selection activeCell="N44" sqref="N44"/>
    </sheetView>
  </sheetViews>
  <sheetFormatPr baseColWidth="10" defaultColWidth="8.83203125" defaultRowHeight="15" x14ac:dyDescent="0.2"/>
  <cols>
    <col min="1" max="1" width="32.5" bestFit="1" customWidth="1"/>
    <col min="2" max="2" width="12.33203125" bestFit="1" customWidth="1"/>
    <col min="3" max="3" width="11.1640625" customWidth="1"/>
    <col min="4" max="4" width="11.83203125" customWidth="1"/>
    <col min="5" max="5" width="11.83203125" bestFit="1" customWidth="1"/>
    <col min="6" max="6" width="21.5" customWidth="1"/>
    <col min="7" max="7" width="26.33203125" bestFit="1" customWidth="1"/>
    <col min="8" max="8" width="19.1640625" bestFit="1" customWidth="1"/>
  </cols>
  <sheetData>
    <row r="1" spans="1:8" ht="21" thickBot="1" x14ac:dyDescent="0.25">
      <c r="A1" s="1" t="s">
        <v>34</v>
      </c>
      <c r="B1" s="2" t="s">
        <v>35</v>
      </c>
      <c r="C1" s="26" t="s">
        <v>36</v>
      </c>
      <c r="D1" s="2" t="s">
        <v>37</v>
      </c>
      <c r="F1" s="3"/>
      <c r="G1" s="27"/>
      <c r="H1" s="28" t="s">
        <v>17</v>
      </c>
    </row>
    <row r="2" spans="1:8" ht="17" thickTop="1" x14ac:dyDescent="0.2">
      <c r="A2" s="3" t="s">
        <v>38</v>
      </c>
      <c r="B2" s="4">
        <f>4</f>
        <v>4</v>
      </c>
      <c r="C2" s="29">
        <f>1</f>
        <v>1</v>
      </c>
      <c r="D2" s="4">
        <f>1/4</f>
        <v>0.25</v>
      </c>
      <c r="F2" s="3"/>
      <c r="G2" s="28" t="s">
        <v>18</v>
      </c>
      <c r="H2" s="27">
        <f>1/H6</f>
        <v>0.97560975609756106</v>
      </c>
    </row>
    <row r="3" spans="1:8" ht="16" x14ac:dyDescent="0.2">
      <c r="F3" s="3"/>
      <c r="G3" s="28" t="s">
        <v>19</v>
      </c>
      <c r="H3" s="30">
        <f>1/H2</f>
        <v>1.0249999999999999</v>
      </c>
    </row>
    <row r="4" spans="1:8" ht="34" x14ac:dyDescent="0.2">
      <c r="A4" s="31" t="s">
        <v>39</v>
      </c>
      <c r="B4" s="32">
        <v>1</v>
      </c>
      <c r="C4" s="3"/>
      <c r="F4" s="3"/>
      <c r="G4" s="3"/>
      <c r="H4" s="3"/>
    </row>
    <row r="5" spans="1:8" ht="16" x14ac:dyDescent="0.2">
      <c r="A5" s="33" t="s">
        <v>40</v>
      </c>
      <c r="B5" s="32">
        <v>4</v>
      </c>
      <c r="C5" s="3"/>
      <c r="G5" s="65" t="s">
        <v>41</v>
      </c>
      <c r="H5" s="65"/>
    </row>
    <row r="6" spans="1:8" ht="16" x14ac:dyDescent="0.2">
      <c r="A6" s="33" t="s">
        <v>42</v>
      </c>
      <c r="B6" s="32">
        <v>1.2</v>
      </c>
      <c r="C6" s="3"/>
      <c r="F6" s="3"/>
      <c r="G6" s="34" t="s">
        <v>43</v>
      </c>
      <c r="H6" s="35">
        <v>1.0249999999999999</v>
      </c>
    </row>
    <row r="7" spans="1:8" ht="16" x14ac:dyDescent="0.2">
      <c r="A7" s="33" t="s">
        <v>44</v>
      </c>
      <c r="B7" s="32">
        <v>0.5</v>
      </c>
      <c r="C7" s="3"/>
      <c r="F7" s="3"/>
      <c r="G7" s="36" t="s">
        <v>45</v>
      </c>
      <c r="H7" s="35">
        <f>1/(1.033*EXP(-51.192/(8.31446261815324*100)))</f>
        <v>1.0295302537127078</v>
      </c>
    </row>
    <row r="8" spans="1:8" x14ac:dyDescent="0.2">
      <c r="C8" s="3"/>
      <c r="F8" s="3"/>
      <c r="G8" s="3"/>
      <c r="H8" s="3"/>
    </row>
    <row r="9" spans="1:8" ht="16" x14ac:dyDescent="0.2">
      <c r="A9" s="37" t="s">
        <v>46</v>
      </c>
      <c r="B9" s="37">
        <v>250</v>
      </c>
      <c r="C9" s="38" t="s">
        <v>47</v>
      </c>
      <c r="F9" s="3"/>
      <c r="G9" s="3"/>
      <c r="H9" s="3"/>
    </row>
    <row r="10" spans="1:8" ht="16" x14ac:dyDescent="0.2">
      <c r="A10" s="37" t="s">
        <v>48</v>
      </c>
      <c r="B10" s="37">
        <f>B9*B6</f>
        <v>300</v>
      </c>
      <c r="F10" s="3"/>
      <c r="G10" s="3"/>
      <c r="H10" s="3"/>
    </row>
    <row r="11" spans="1:8" x14ac:dyDescent="0.2">
      <c r="A11" s="3"/>
      <c r="B11" s="3"/>
      <c r="D11" s="3"/>
      <c r="F11" s="3"/>
      <c r="G11" s="3"/>
      <c r="H11" s="3"/>
    </row>
    <row r="12" spans="1:8" x14ac:dyDescent="0.2">
      <c r="C12" s="3"/>
      <c r="D12" s="3"/>
      <c r="E12" s="3"/>
      <c r="F12" s="3"/>
      <c r="G12" s="3"/>
      <c r="H12" s="3"/>
    </row>
    <row r="13" spans="1:8" ht="16" x14ac:dyDescent="0.2">
      <c r="A13" s="39"/>
      <c r="B13" s="39"/>
      <c r="C13" s="39" t="s">
        <v>10</v>
      </c>
      <c r="D13" s="39" t="s">
        <v>11</v>
      </c>
      <c r="E13" s="40" t="s">
        <v>12</v>
      </c>
      <c r="F13" s="3"/>
      <c r="G13" s="3"/>
      <c r="H13" s="3"/>
    </row>
    <row r="14" spans="1:8" ht="16" x14ac:dyDescent="0.2">
      <c r="A14" s="39" t="s">
        <v>13</v>
      </c>
      <c r="B14" s="39"/>
      <c r="C14" s="39"/>
      <c r="D14" s="39">
        <v>1.1180000000000001E-2</v>
      </c>
      <c r="E14" s="40"/>
      <c r="F14" s="3"/>
      <c r="G14" s="3"/>
      <c r="H14" s="3"/>
    </row>
    <row r="15" spans="1:8" ht="16" x14ac:dyDescent="0.2">
      <c r="A15" s="41" t="s">
        <v>49</v>
      </c>
      <c r="B15" s="41"/>
      <c r="C15" s="57">
        <f>Diagenesis!H67</f>
        <v>-34.678504911399457</v>
      </c>
      <c r="D15" s="48">
        <f>(C15/1000 +1)*D14</f>
        <v>1.0792294315090555E-2</v>
      </c>
      <c r="E15" s="42">
        <f>D15/(1+D15)</f>
        <v>1.0677064294799929E-2</v>
      </c>
      <c r="F15" s="2"/>
      <c r="G15" s="3"/>
      <c r="H15" s="3"/>
    </row>
    <row r="16" spans="1:8" ht="16" x14ac:dyDescent="0.2">
      <c r="A16" s="3"/>
      <c r="B16" s="3"/>
      <c r="C16" s="3"/>
      <c r="D16" s="3"/>
      <c r="E16" s="3"/>
      <c r="F16" s="2"/>
      <c r="G16" s="3"/>
      <c r="H16" s="3"/>
    </row>
    <row r="17" spans="1:8" ht="16" x14ac:dyDescent="0.2">
      <c r="A17" s="3"/>
      <c r="B17" s="3"/>
      <c r="C17" s="3"/>
      <c r="D17" s="3"/>
      <c r="E17" s="3"/>
      <c r="F17" s="2"/>
      <c r="G17" s="3"/>
      <c r="H17" s="3"/>
    </row>
    <row r="18" spans="1:8" ht="16" x14ac:dyDescent="0.2">
      <c r="A18" s="3"/>
      <c r="B18" s="3"/>
      <c r="C18" s="3"/>
      <c r="D18" s="3"/>
      <c r="E18" s="3"/>
      <c r="F18" s="2"/>
      <c r="G18" s="3"/>
      <c r="H18" s="3"/>
    </row>
    <row r="20" spans="1:8" ht="54" x14ac:dyDescent="0.2">
      <c r="A20" s="16" t="s">
        <v>50</v>
      </c>
      <c r="B20" s="16" t="s">
        <v>51</v>
      </c>
      <c r="C20" s="16" t="s">
        <v>52</v>
      </c>
      <c r="D20" s="43" t="s">
        <v>53</v>
      </c>
      <c r="E20" s="16" t="s">
        <v>54</v>
      </c>
      <c r="F20" s="16" t="s">
        <v>68</v>
      </c>
      <c r="G20" s="43"/>
    </row>
    <row r="21" spans="1:8" x14ac:dyDescent="0.2">
      <c r="A21" s="3">
        <v>0</v>
      </c>
      <c r="B21" s="3">
        <f>$B$9-A21</f>
        <v>250</v>
      </c>
      <c r="C21" s="47">
        <f t="shared" ref="C21:C52" si="0">($B$10-A21*$B$5)/B21</f>
        <v>1.2</v>
      </c>
      <c r="D21" s="19">
        <f t="shared" ref="D21:D52" si="1">$D$15*(B21/$B$9)^($H$2-1)</f>
        <v>1.0792294315090555E-2</v>
      </c>
      <c r="E21" s="22">
        <f>(D21/$D$14-1)*1000</f>
        <v>-34.678504911399457</v>
      </c>
      <c r="F21">
        <f>(B21-A21)/$B$21</f>
        <v>1</v>
      </c>
    </row>
    <row r="22" spans="1:8" x14ac:dyDescent="0.2">
      <c r="A22" s="3">
        <v>1</v>
      </c>
      <c r="B22" s="3">
        <f>$B$9-A22</f>
        <v>249</v>
      </c>
      <c r="C22" s="47">
        <f t="shared" si="0"/>
        <v>1.1887550200803212</v>
      </c>
      <c r="D22" s="19">
        <f>$D$15*(B22/$B$9)^($H$2-1)</f>
        <v>1.0793349384868119E-2</v>
      </c>
      <c r="E22" s="22">
        <f t="shared" ref="E22:E85" si="2">(D22/$D$14-1)*1000</f>
        <v>-34.5841337327264</v>
      </c>
      <c r="F22">
        <f t="shared" ref="F22:F85" si="3">(B22-A22)/$B$21</f>
        <v>0.99199999999999999</v>
      </c>
    </row>
    <row r="23" spans="1:8" x14ac:dyDescent="0.2">
      <c r="A23" s="3">
        <v>2</v>
      </c>
      <c r="B23" s="3">
        <f t="shared" ref="B23:B86" si="4">$B$9-A23</f>
        <v>248</v>
      </c>
      <c r="C23" s="47">
        <f t="shared" si="0"/>
        <v>1.1774193548387097</v>
      </c>
      <c r="D23" s="19">
        <f t="shared" si="1"/>
        <v>1.0794408804179301E-2</v>
      </c>
      <c r="E23" s="22">
        <f t="shared" si="2"/>
        <v>-34.489373508112649</v>
      </c>
      <c r="F23">
        <f t="shared" si="3"/>
        <v>0.98399999999999999</v>
      </c>
    </row>
    <row r="24" spans="1:8" x14ac:dyDescent="0.2">
      <c r="A24" s="3">
        <v>3</v>
      </c>
      <c r="B24" s="3">
        <f t="shared" si="4"/>
        <v>247</v>
      </c>
      <c r="C24" s="47">
        <f t="shared" si="0"/>
        <v>1.165991902834008</v>
      </c>
      <c r="D24" s="19">
        <f t="shared" si="1"/>
        <v>1.0795472608602381E-2</v>
      </c>
      <c r="E24" s="22">
        <f t="shared" si="2"/>
        <v>-34.394221055243257</v>
      </c>
      <c r="F24">
        <f t="shared" si="3"/>
        <v>0.97599999999999998</v>
      </c>
    </row>
    <row r="25" spans="1:8" x14ac:dyDescent="0.2">
      <c r="A25" s="3">
        <v>4</v>
      </c>
      <c r="B25" s="3">
        <f t="shared" si="4"/>
        <v>246</v>
      </c>
      <c r="C25" s="47">
        <f t="shared" si="0"/>
        <v>1.1544715447154472</v>
      </c>
      <c r="D25" s="19">
        <f t="shared" si="1"/>
        <v>1.0796540834152171E-2</v>
      </c>
      <c r="E25" s="22">
        <f t="shared" si="2"/>
        <v>-34.298673152757587</v>
      </c>
      <c r="F25">
        <f t="shared" si="3"/>
        <v>0.96799999999999997</v>
      </c>
    </row>
    <row r="26" spans="1:8" x14ac:dyDescent="0.2">
      <c r="A26" s="3">
        <v>5</v>
      </c>
      <c r="B26" s="3">
        <f t="shared" si="4"/>
        <v>245</v>
      </c>
      <c r="C26" s="47">
        <f t="shared" si="0"/>
        <v>1.1428571428571428</v>
      </c>
      <c r="D26" s="19">
        <f t="shared" si="1"/>
        <v>1.0797613517287195E-2</v>
      </c>
      <c r="E26" s="22">
        <f t="shared" si="2"/>
        <v>-34.202726539606985</v>
      </c>
      <c r="F26">
        <f t="shared" si="3"/>
        <v>0.96</v>
      </c>
    </row>
    <row r="27" spans="1:8" x14ac:dyDescent="0.2">
      <c r="A27" s="3">
        <v>6</v>
      </c>
      <c r="B27" s="3">
        <f t="shared" si="4"/>
        <v>244</v>
      </c>
      <c r="C27" s="47">
        <f t="shared" si="0"/>
        <v>1.1311475409836065</v>
      </c>
      <c r="D27" s="19">
        <f t="shared" si="1"/>
        <v>1.0798690694916976E-2</v>
      </c>
      <c r="E27" s="22">
        <f t="shared" si="2"/>
        <v>-34.106377914402962</v>
      </c>
      <c r="F27">
        <f t="shared" si="3"/>
        <v>0.95199999999999996</v>
      </c>
    </row>
    <row r="28" spans="1:8" x14ac:dyDescent="0.2">
      <c r="A28" s="3">
        <v>7</v>
      </c>
      <c r="B28" s="3">
        <f t="shared" si="4"/>
        <v>243</v>
      </c>
      <c r="C28" s="47">
        <f t="shared" si="0"/>
        <v>1.1193415637860082</v>
      </c>
      <c r="D28" s="19">
        <f t="shared" si="1"/>
        <v>1.0799772404409503E-2</v>
      </c>
      <c r="E28" s="22">
        <f t="shared" si="2"/>
        <v>-34.009623934749264</v>
      </c>
      <c r="F28">
        <f t="shared" si="3"/>
        <v>0.94399999999999995</v>
      </c>
    </row>
    <row r="29" spans="1:8" x14ac:dyDescent="0.2">
      <c r="A29" s="3">
        <v>8</v>
      </c>
      <c r="B29" s="3">
        <f t="shared" si="4"/>
        <v>242</v>
      </c>
      <c r="C29" s="47">
        <f t="shared" si="0"/>
        <v>1.1074380165289257</v>
      </c>
      <c r="D29" s="19">
        <f t="shared" si="1"/>
        <v>1.080085868359883E-2</v>
      </c>
      <c r="E29" s="22">
        <f t="shared" si="2"/>
        <v>-33.912461216562662</v>
      </c>
      <c r="F29">
        <f t="shared" si="3"/>
        <v>0.93600000000000005</v>
      </c>
    </row>
    <row r="30" spans="1:8" x14ac:dyDescent="0.2">
      <c r="A30" s="3">
        <v>9</v>
      </c>
      <c r="B30" s="3">
        <f t="shared" si="4"/>
        <v>241</v>
      </c>
      <c r="C30" s="47">
        <f t="shared" si="0"/>
        <v>1.095435684647303</v>
      </c>
      <c r="D30" s="19">
        <f t="shared" si="1"/>
        <v>1.0801949570792847E-2</v>
      </c>
      <c r="E30" s="22">
        <f t="shared" si="2"/>
        <v>-33.814886333376926</v>
      </c>
      <c r="F30">
        <f t="shared" si="3"/>
        <v>0.92800000000000005</v>
      </c>
    </row>
    <row r="31" spans="1:8" x14ac:dyDescent="0.2">
      <c r="A31" s="3">
        <v>10</v>
      </c>
      <c r="B31" s="3">
        <f t="shared" si="4"/>
        <v>240</v>
      </c>
      <c r="C31" s="47">
        <f t="shared" si="0"/>
        <v>1.0833333333333333</v>
      </c>
      <c r="D31" s="19">
        <f t="shared" si="1"/>
        <v>1.0803045104781212E-2</v>
      </c>
      <c r="E31" s="22">
        <f t="shared" si="2"/>
        <v>-33.716895815634082</v>
      </c>
      <c r="F31">
        <f t="shared" si="3"/>
        <v>0.92</v>
      </c>
    </row>
    <row r="32" spans="1:8" x14ac:dyDescent="0.2">
      <c r="A32" s="3">
        <v>11</v>
      </c>
      <c r="B32" s="3">
        <f t="shared" si="4"/>
        <v>239</v>
      </c>
      <c r="C32" s="47">
        <f t="shared" si="0"/>
        <v>1.0711297071129706</v>
      </c>
      <c r="D32" s="19">
        <f t="shared" si="1"/>
        <v>1.080414532484344E-2</v>
      </c>
      <c r="E32" s="22">
        <f t="shared" si="2"/>
        <v>-33.618486149960766</v>
      </c>
      <c r="F32">
        <f t="shared" si="3"/>
        <v>0.91200000000000003</v>
      </c>
    </row>
    <row r="33" spans="1:6" x14ac:dyDescent="0.2">
      <c r="A33" s="3">
        <v>12</v>
      </c>
      <c r="B33" s="3">
        <f t="shared" si="4"/>
        <v>238</v>
      </c>
      <c r="C33" s="47">
        <f t="shared" si="0"/>
        <v>1.0588235294117647</v>
      </c>
      <c r="D33" s="19">
        <f t="shared" si="1"/>
        <v>1.0805250270757174E-2</v>
      </c>
      <c r="E33" s="22">
        <f t="shared" si="2"/>
        <v>-33.519653778428136</v>
      </c>
      <c r="F33">
        <f t="shared" si="3"/>
        <v>0.90400000000000003</v>
      </c>
    </row>
    <row r="34" spans="1:6" x14ac:dyDescent="0.2">
      <c r="A34" s="3">
        <v>13</v>
      </c>
      <c r="B34" s="3">
        <f t="shared" si="4"/>
        <v>237</v>
      </c>
      <c r="C34" s="47">
        <f t="shared" si="0"/>
        <v>1.0464135021097047</v>
      </c>
      <c r="D34" s="19">
        <f t="shared" si="1"/>
        <v>1.0806359982806633E-2</v>
      </c>
      <c r="E34" s="22">
        <f t="shared" si="2"/>
        <v>-33.42039509779682</v>
      </c>
      <c r="F34">
        <f t="shared" si="3"/>
        <v>0.89600000000000002</v>
      </c>
    </row>
    <row r="35" spans="1:6" x14ac:dyDescent="0.2">
      <c r="A35" s="3">
        <v>14</v>
      </c>
      <c r="B35" s="3">
        <f t="shared" si="4"/>
        <v>236</v>
      </c>
      <c r="C35" s="47">
        <f t="shared" si="0"/>
        <v>1.0338983050847457</v>
      </c>
      <c r="D35" s="19">
        <f t="shared" si="1"/>
        <v>1.0807474501791212E-2</v>
      </c>
      <c r="E35" s="22">
        <f t="shared" si="2"/>
        <v>-33.320706458746741</v>
      </c>
      <c r="F35">
        <f t="shared" si="3"/>
        <v>0.88800000000000001</v>
      </c>
    </row>
    <row r="36" spans="1:6" x14ac:dyDescent="0.2">
      <c r="A36" s="3">
        <v>15</v>
      </c>
      <c r="B36" s="3">
        <f t="shared" si="4"/>
        <v>235</v>
      </c>
      <c r="C36" s="47">
        <f t="shared" si="0"/>
        <v>1.0212765957446808</v>
      </c>
      <c r="D36" s="19">
        <f t="shared" si="1"/>
        <v>1.0808593869034308E-2</v>
      </c>
      <c r="E36" s="22">
        <f t="shared" si="2"/>
        <v>-33.220584165088773</v>
      </c>
      <c r="F36">
        <f t="shared" si="3"/>
        <v>0.88</v>
      </c>
    </row>
    <row r="37" spans="1:6" x14ac:dyDescent="0.2">
      <c r="A37" s="3">
        <v>16</v>
      </c>
      <c r="B37" s="3">
        <f t="shared" si="4"/>
        <v>234</v>
      </c>
      <c r="C37" s="47">
        <f t="shared" si="0"/>
        <v>1.0085470085470085</v>
      </c>
      <c r="D37" s="19">
        <f t="shared" si="1"/>
        <v>1.0809718126392299E-2</v>
      </c>
      <c r="E37" s="22">
        <f t="shared" si="2"/>
        <v>-33.120024472960807</v>
      </c>
      <c r="F37">
        <f t="shared" si="3"/>
        <v>0.872</v>
      </c>
    </row>
    <row r="38" spans="1:6" x14ac:dyDescent="0.2">
      <c r="A38" s="3">
        <v>17</v>
      </c>
      <c r="B38" s="3">
        <f t="shared" si="4"/>
        <v>233</v>
      </c>
      <c r="C38" s="47">
        <f t="shared" si="0"/>
        <v>0.99570815450643779</v>
      </c>
      <c r="D38" s="19">
        <f t="shared" si="1"/>
        <v>1.0810847316263745E-2</v>
      </c>
      <c r="E38" s="22">
        <f t="shared" si="2"/>
        <v>-33.01902359000497</v>
      </c>
      <c r="F38">
        <f t="shared" si="3"/>
        <v>0.86399999999999999</v>
      </c>
    </row>
    <row r="39" spans="1:6" x14ac:dyDescent="0.2">
      <c r="A39" s="3">
        <v>18</v>
      </c>
      <c r="B39" s="3">
        <f t="shared" si="4"/>
        <v>232</v>
      </c>
      <c r="C39" s="47">
        <f t="shared" si="0"/>
        <v>0.98275862068965514</v>
      </c>
      <c r="D39" s="19">
        <f t="shared" si="1"/>
        <v>1.0811981481598756E-2</v>
      </c>
      <c r="E39" s="22">
        <f t="shared" si="2"/>
        <v>-32.917577674529966</v>
      </c>
      <c r="F39">
        <f t="shared" si="3"/>
        <v>0.85599999999999998</v>
      </c>
    </row>
    <row r="40" spans="1:6" x14ac:dyDescent="0.2">
      <c r="A40" s="3">
        <v>19</v>
      </c>
      <c r="B40" s="3">
        <f t="shared" si="4"/>
        <v>231</v>
      </c>
      <c r="C40" s="47">
        <f t="shared" si="0"/>
        <v>0.96969696969696972</v>
      </c>
      <c r="D40" s="19">
        <f t="shared" si="1"/>
        <v>1.0813120665908588E-2</v>
      </c>
      <c r="E40" s="22">
        <f t="shared" si="2"/>
        <v>-32.815682834652307</v>
      </c>
      <c r="F40">
        <f t="shared" si="3"/>
        <v>0.84799999999999998</v>
      </c>
    </row>
    <row r="41" spans="1:6" x14ac:dyDescent="0.2">
      <c r="A41" s="3">
        <v>20</v>
      </c>
      <c r="B41" s="3">
        <f t="shared" si="4"/>
        <v>230</v>
      </c>
      <c r="C41" s="47">
        <f t="shared" si="0"/>
        <v>0.95652173913043481</v>
      </c>
      <c r="D41" s="19">
        <f t="shared" si="1"/>
        <v>1.0814264913275452E-2</v>
      </c>
      <c r="E41" s="22">
        <f t="shared" si="2"/>
        <v>-32.713335127419363</v>
      </c>
      <c r="F41">
        <f t="shared" si="3"/>
        <v>0.84</v>
      </c>
    </row>
    <row r="42" spans="1:6" x14ac:dyDescent="0.2">
      <c r="A42" s="3">
        <v>21</v>
      </c>
      <c r="B42" s="3">
        <f t="shared" si="4"/>
        <v>229</v>
      </c>
      <c r="C42" s="47">
        <f t="shared" si="0"/>
        <v>0.94323144104803491</v>
      </c>
      <c r="D42" s="19">
        <f t="shared" si="1"/>
        <v>1.0815414268362503E-2</v>
      </c>
      <c r="E42" s="22">
        <f t="shared" si="2"/>
        <v>-32.610530557915737</v>
      </c>
      <c r="F42">
        <f t="shared" si="3"/>
        <v>0.83199999999999996</v>
      </c>
    </row>
    <row r="43" spans="1:6" x14ac:dyDescent="0.2">
      <c r="A43" s="3">
        <v>22</v>
      </c>
      <c r="B43" s="3">
        <f t="shared" si="4"/>
        <v>228</v>
      </c>
      <c r="C43" s="47">
        <f t="shared" si="0"/>
        <v>0.92982456140350878</v>
      </c>
      <c r="D43" s="19">
        <f t="shared" si="1"/>
        <v>1.0816568776424096E-2</v>
      </c>
      <c r="E43" s="22">
        <f t="shared" si="2"/>
        <v>-32.507265078345668</v>
      </c>
      <c r="F43">
        <f t="shared" si="3"/>
        <v>0.82399999999999995</v>
      </c>
    </row>
    <row r="44" spans="1:6" x14ac:dyDescent="0.2">
      <c r="A44" s="3">
        <v>23</v>
      </c>
      <c r="B44" s="3">
        <f t="shared" si="4"/>
        <v>227</v>
      </c>
      <c r="C44" s="47">
        <f t="shared" si="0"/>
        <v>0.91629955947136565</v>
      </c>
      <c r="D44" s="19">
        <f t="shared" si="1"/>
        <v>1.0817728483316229E-2</v>
      </c>
      <c r="E44" s="22">
        <f t="shared" si="2"/>
        <v>-32.403534587099436</v>
      </c>
      <c r="F44">
        <f t="shared" si="3"/>
        <v>0.81599999999999995</v>
      </c>
    </row>
    <row r="45" spans="1:6" x14ac:dyDescent="0.2">
      <c r="A45" s="3">
        <v>24</v>
      </c>
      <c r="B45" s="3">
        <f t="shared" si="4"/>
        <v>226</v>
      </c>
      <c r="C45" s="47">
        <f t="shared" si="0"/>
        <v>0.90265486725663713</v>
      </c>
      <c r="D45" s="19">
        <f t="shared" si="1"/>
        <v>1.0818893435507243E-2</v>
      </c>
      <c r="E45" s="22">
        <f t="shared" si="2"/>
        <v>-32.299334927795911</v>
      </c>
      <c r="F45">
        <f t="shared" si="3"/>
        <v>0.80800000000000005</v>
      </c>
    </row>
    <row r="46" spans="1:6" x14ac:dyDescent="0.2">
      <c r="A46" s="3">
        <v>25</v>
      </c>
      <c r="B46" s="3">
        <f t="shared" si="4"/>
        <v>225</v>
      </c>
      <c r="C46" s="47">
        <f t="shared" si="0"/>
        <v>0.88888888888888884</v>
      </c>
      <c r="D46" s="19">
        <f t="shared" si="1"/>
        <v>1.082006368008874E-2</v>
      </c>
      <c r="E46" s="22">
        <f t="shared" si="2"/>
        <v>-32.194661888306001</v>
      </c>
      <c r="F46">
        <f t="shared" si="3"/>
        <v>0.8</v>
      </c>
    </row>
    <row r="47" spans="1:6" x14ac:dyDescent="0.2">
      <c r="A47" s="3">
        <v>26</v>
      </c>
      <c r="B47" s="3">
        <f t="shared" si="4"/>
        <v>224</v>
      </c>
      <c r="C47" s="47">
        <f t="shared" si="0"/>
        <v>0.875</v>
      </c>
      <c r="D47" s="19">
        <f t="shared" si="1"/>
        <v>1.0821239264786774E-2</v>
      </c>
      <c r="E47" s="22">
        <f t="shared" si="2"/>
        <v>-32.089511199751897</v>
      </c>
      <c r="F47">
        <f t="shared" si="3"/>
        <v>0.79200000000000004</v>
      </c>
    </row>
    <row r="48" spans="1:6" x14ac:dyDescent="0.2">
      <c r="A48" s="3">
        <v>27</v>
      </c>
      <c r="B48" s="3">
        <f t="shared" si="4"/>
        <v>223</v>
      </c>
      <c r="C48" s="47">
        <f t="shared" si="0"/>
        <v>0.86098654708520184</v>
      </c>
      <c r="D48" s="19">
        <f t="shared" si="1"/>
        <v>1.0822420237973253E-2</v>
      </c>
      <c r="E48" s="22">
        <f t="shared" si="2"/>
        <v>-31.983878535487232</v>
      </c>
      <c r="F48">
        <f t="shared" si="3"/>
        <v>0.78400000000000003</v>
      </c>
    </row>
    <row r="49" spans="1:6" x14ac:dyDescent="0.2">
      <c r="A49" s="3">
        <v>28</v>
      </c>
      <c r="B49" s="3">
        <f t="shared" si="4"/>
        <v>222</v>
      </c>
      <c r="C49" s="47">
        <f t="shared" si="0"/>
        <v>0.84684684684684686</v>
      </c>
      <c r="D49" s="19">
        <f t="shared" si="1"/>
        <v>1.0823606648677648E-2</v>
      </c>
      <c r="E49" s="22">
        <f t="shared" si="2"/>
        <v>-31.877759510049451</v>
      </c>
      <c r="F49">
        <f t="shared" si="3"/>
        <v>0.77600000000000002</v>
      </c>
    </row>
    <row r="50" spans="1:6" x14ac:dyDescent="0.2">
      <c r="A50" s="3">
        <v>29</v>
      </c>
      <c r="B50" s="3">
        <f t="shared" si="4"/>
        <v>221</v>
      </c>
      <c r="C50" s="47">
        <f t="shared" si="0"/>
        <v>0.83257918552036203</v>
      </c>
      <c r="D50" s="19">
        <f t="shared" si="1"/>
        <v>1.0824798546598903E-2</v>
      </c>
      <c r="E50" s="22">
        <f t="shared" si="2"/>
        <v>-31.771149678094581</v>
      </c>
      <c r="F50">
        <f t="shared" si="3"/>
        <v>0.76800000000000002</v>
      </c>
    </row>
    <row r="51" spans="1:6" x14ac:dyDescent="0.2">
      <c r="A51" s="3">
        <v>30</v>
      </c>
      <c r="B51" s="3">
        <f t="shared" si="4"/>
        <v>220</v>
      </c>
      <c r="C51" s="47">
        <f t="shared" si="0"/>
        <v>0.81818181818181823</v>
      </c>
      <c r="D51" s="19">
        <f t="shared" si="1"/>
        <v>1.0825995982117705E-2</v>
      </c>
      <c r="E51" s="22">
        <f t="shared" si="2"/>
        <v>-31.664044533300185</v>
      </c>
      <c r="F51">
        <f t="shared" si="3"/>
        <v>0.76</v>
      </c>
    </row>
    <row r="52" spans="1:6" x14ac:dyDescent="0.2">
      <c r="A52" s="3">
        <v>31</v>
      </c>
      <c r="B52" s="3">
        <f t="shared" si="4"/>
        <v>219</v>
      </c>
      <c r="C52" s="47">
        <f t="shared" si="0"/>
        <v>0.80365296803652964</v>
      </c>
      <c r="D52" s="19">
        <f t="shared" si="1"/>
        <v>1.0827199006308937E-2</v>
      </c>
      <c r="E52" s="22">
        <f t="shared" si="2"/>
        <v>-31.556439507250733</v>
      </c>
      <c r="F52">
        <f t="shared" si="3"/>
        <v>0.752</v>
      </c>
    </row>
    <row r="53" spans="1:6" x14ac:dyDescent="0.2">
      <c r="A53" s="3">
        <v>32</v>
      </c>
      <c r="B53" s="3">
        <f t="shared" si="4"/>
        <v>218</v>
      </c>
      <c r="C53" s="47">
        <f t="shared" ref="C53:C84" si="5">($B$10-A53*$B$5)/B53</f>
        <v>0.78899082568807344</v>
      </c>
      <c r="D53" s="19">
        <f t="shared" ref="D53:D84" si="6">$D$15*(B53/$B$9)^($H$2-1)</f>
        <v>1.082840767095449E-2</v>
      </c>
      <c r="E53" s="22">
        <f t="shared" si="2"/>
        <v>-31.448329968292612</v>
      </c>
      <c r="F53">
        <f t="shared" si="3"/>
        <v>0.74399999999999999</v>
      </c>
    </row>
    <row r="54" spans="1:6" x14ac:dyDescent="0.2">
      <c r="A54" s="3">
        <v>33</v>
      </c>
      <c r="B54" s="3">
        <f t="shared" si="4"/>
        <v>217</v>
      </c>
      <c r="C54" s="47">
        <f t="shared" si="5"/>
        <v>0.77419354838709675</v>
      </c>
      <c r="D54" s="19">
        <f t="shared" si="6"/>
        <v>1.0829622028556347E-2</v>
      </c>
      <c r="E54" s="22">
        <f t="shared" si="2"/>
        <v>-31.339711220362609</v>
      </c>
      <c r="F54">
        <f t="shared" si="3"/>
        <v>0.73599999999999999</v>
      </c>
    </row>
    <row r="55" spans="1:6" x14ac:dyDescent="0.2">
      <c r="A55" s="3">
        <v>34</v>
      </c>
      <c r="B55" s="3">
        <f t="shared" si="4"/>
        <v>216</v>
      </c>
      <c r="C55" s="47">
        <f t="shared" si="5"/>
        <v>0.7592592592592593</v>
      </c>
      <c r="D55" s="19">
        <f t="shared" si="6"/>
        <v>1.0830842132349951E-2</v>
      </c>
      <c r="E55" s="22">
        <f t="shared" si="2"/>
        <v>-31.230578501793339</v>
      </c>
      <c r="F55">
        <f t="shared" si="3"/>
        <v>0.72799999999999998</v>
      </c>
    </row>
    <row r="56" spans="1:6" x14ac:dyDescent="0.2">
      <c r="A56" s="3">
        <v>35</v>
      </c>
      <c r="B56" s="3">
        <f t="shared" si="4"/>
        <v>215</v>
      </c>
      <c r="C56" s="47">
        <f t="shared" si="5"/>
        <v>0.7441860465116279</v>
      </c>
      <c r="D56" s="19">
        <f t="shared" si="6"/>
        <v>1.0832068036317925E-2</v>
      </c>
      <c r="E56" s="22">
        <f t="shared" si="2"/>
        <v>-31.120926984085528</v>
      </c>
      <c r="F56">
        <f t="shared" si="3"/>
        <v>0.72</v>
      </c>
    </row>
    <row r="57" spans="1:6" x14ac:dyDescent="0.2">
      <c r="A57" s="3">
        <v>36</v>
      </c>
      <c r="B57" s="3">
        <f t="shared" si="4"/>
        <v>214</v>
      </c>
      <c r="C57" s="47">
        <f t="shared" si="5"/>
        <v>0.7289719626168224</v>
      </c>
      <c r="D57" s="19">
        <f t="shared" si="6"/>
        <v>1.0833299795204072E-2</v>
      </c>
      <c r="E57" s="22">
        <f t="shared" si="2"/>
        <v>-31.010751770655489</v>
      </c>
      <c r="F57">
        <f t="shared" si="3"/>
        <v>0.71199999999999997</v>
      </c>
    </row>
    <row r="58" spans="1:6" x14ac:dyDescent="0.2">
      <c r="A58" s="3">
        <v>37</v>
      </c>
      <c r="B58" s="3">
        <f t="shared" si="4"/>
        <v>213</v>
      </c>
      <c r="C58" s="47">
        <f t="shared" si="5"/>
        <v>0.71361502347417838</v>
      </c>
      <c r="D58" s="19">
        <f t="shared" si="6"/>
        <v>1.0834537464527734E-2</v>
      </c>
      <c r="E58" s="22">
        <f t="shared" si="2"/>
        <v>-30.900047895551563</v>
      </c>
      <c r="F58">
        <f t="shared" si="3"/>
        <v>0.70399999999999996</v>
      </c>
    </row>
    <row r="59" spans="1:6" x14ac:dyDescent="0.2">
      <c r="A59" s="3">
        <v>38</v>
      </c>
      <c r="B59" s="3">
        <f t="shared" si="4"/>
        <v>212</v>
      </c>
      <c r="C59" s="47">
        <f t="shared" si="5"/>
        <v>0.69811320754716977</v>
      </c>
      <c r="D59" s="19">
        <f t="shared" si="6"/>
        <v>1.0835781100598484E-2</v>
      </c>
      <c r="E59" s="22">
        <f t="shared" si="2"/>
        <v>-30.788810322139316</v>
      </c>
      <c r="F59">
        <f t="shared" si="3"/>
        <v>0.69599999999999995</v>
      </c>
    </row>
    <row r="60" spans="1:6" x14ac:dyDescent="0.2">
      <c r="A60" s="3">
        <v>39</v>
      </c>
      <c r="B60" s="3">
        <f t="shared" si="4"/>
        <v>211</v>
      </c>
      <c r="C60" s="47">
        <f t="shared" si="5"/>
        <v>0.68246445497630337</v>
      </c>
      <c r="D60" s="19">
        <f t="shared" si="6"/>
        <v>1.0837030760531156E-2</v>
      </c>
      <c r="E60" s="22">
        <f t="shared" si="2"/>
        <v>-30.677033941757138</v>
      </c>
      <c r="F60">
        <f t="shared" si="3"/>
        <v>0.68799999999999994</v>
      </c>
    </row>
    <row r="61" spans="1:6" x14ac:dyDescent="0.2">
      <c r="A61" s="3">
        <v>40</v>
      </c>
      <c r="B61" s="3">
        <f t="shared" si="4"/>
        <v>210</v>
      </c>
      <c r="C61" s="47">
        <f t="shared" si="5"/>
        <v>0.66666666666666663</v>
      </c>
      <c r="D61" s="19">
        <f t="shared" si="6"/>
        <v>1.083828650226124E-2</v>
      </c>
      <c r="E61" s="22">
        <f t="shared" si="2"/>
        <v>-30.564713572339919</v>
      </c>
      <c r="F61">
        <f t="shared" si="3"/>
        <v>0.68</v>
      </c>
    </row>
    <row r="62" spans="1:6" x14ac:dyDescent="0.2">
      <c r="A62" s="3">
        <v>41</v>
      </c>
      <c r="B62" s="3">
        <f t="shared" si="4"/>
        <v>209</v>
      </c>
      <c r="C62" s="47">
        <f t="shared" si="5"/>
        <v>0.65071770334928225</v>
      </c>
      <c r="D62" s="19">
        <f t="shared" si="6"/>
        <v>1.0839548384560655E-2</v>
      </c>
      <c r="E62" s="22">
        <f t="shared" si="2"/>
        <v>-30.451843957007618</v>
      </c>
      <c r="F62">
        <f t="shared" si="3"/>
        <v>0.67200000000000004</v>
      </c>
    </row>
    <row r="63" spans="1:6" x14ac:dyDescent="0.2">
      <c r="A63" s="3">
        <v>42</v>
      </c>
      <c r="B63" s="3">
        <f t="shared" si="4"/>
        <v>208</v>
      </c>
      <c r="C63" s="47">
        <f t="shared" si="5"/>
        <v>0.63461538461538458</v>
      </c>
      <c r="D63" s="19">
        <f t="shared" si="6"/>
        <v>1.0840816467053888E-2</v>
      </c>
      <c r="E63" s="22">
        <f t="shared" si="2"/>
        <v>-30.338419762621861</v>
      </c>
      <c r="F63">
        <f t="shared" si="3"/>
        <v>0.66400000000000003</v>
      </c>
    </row>
    <row r="64" spans="1:6" x14ac:dyDescent="0.2">
      <c r="A64" s="3">
        <v>43</v>
      </c>
      <c r="B64" s="3">
        <f t="shared" si="4"/>
        <v>207</v>
      </c>
      <c r="C64" s="47">
        <f t="shared" si="5"/>
        <v>0.61835748792270528</v>
      </c>
      <c r="D64" s="19">
        <f t="shared" si="6"/>
        <v>1.0842090810234534E-2</v>
      </c>
      <c r="E64" s="22">
        <f t="shared" si="2"/>
        <v>-30.224435578306451</v>
      </c>
      <c r="F64">
        <f t="shared" si="3"/>
        <v>0.65600000000000003</v>
      </c>
    </row>
    <row r="65" spans="1:6" x14ac:dyDescent="0.2">
      <c r="A65" s="3">
        <v>44</v>
      </c>
      <c r="B65" s="3">
        <f t="shared" si="4"/>
        <v>206</v>
      </c>
      <c r="C65" s="47">
        <f t="shared" si="5"/>
        <v>0.60194174757281549</v>
      </c>
      <c r="D65" s="19">
        <f t="shared" si="6"/>
        <v>1.0843371475482234E-2</v>
      </c>
      <c r="E65" s="22">
        <f t="shared" si="2"/>
        <v>-30.109885913932601</v>
      </c>
      <c r="F65">
        <f t="shared" si="3"/>
        <v>0.64800000000000002</v>
      </c>
    </row>
    <row r="66" spans="1:6" x14ac:dyDescent="0.2">
      <c r="A66" s="3">
        <v>45</v>
      </c>
      <c r="B66" s="3">
        <f t="shared" si="4"/>
        <v>205</v>
      </c>
      <c r="C66" s="47">
        <f t="shared" si="5"/>
        <v>0.58536585365853655</v>
      </c>
      <c r="D66" s="19">
        <f t="shared" si="6"/>
        <v>1.0844658525080032E-2</v>
      </c>
      <c r="E66" s="22">
        <f t="shared" si="2"/>
        <v>-29.994765198566142</v>
      </c>
      <c r="F66">
        <f t="shared" si="3"/>
        <v>0.64</v>
      </c>
    </row>
    <row r="67" spans="1:6" x14ac:dyDescent="0.2">
      <c r="A67" s="3">
        <v>46</v>
      </c>
      <c r="B67" s="3">
        <f t="shared" si="4"/>
        <v>204</v>
      </c>
      <c r="C67" s="47">
        <f t="shared" si="5"/>
        <v>0.56862745098039214</v>
      </c>
      <c r="D67" s="19">
        <f t="shared" si="6"/>
        <v>1.0845952022232135E-2</v>
      </c>
      <c r="E67" s="22">
        <f t="shared" si="2"/>
        <v>-29.879067778878831</v>
      </c>
      <c r="F67">
        <f t="shared" si="3"/>
        <v>0.63200000000000001</v>
      </c>
    </row>
    <row r="68" spans="1:6" x14ac:dyDescent="0.2">
      <c r="A68" s="3">
        <v>47</v>
      </c>
      <c r="B68" s="3">
        <f t="shared" si="4"/>
        <v>203</v>
      </c>
      <c r="C68" s="47">
        <f t="shared" si="5"/>
        <v>0.55172413793103448</v>
      </c>
      <c r="D68" s="19">
        <f t="shared" si="6"/>
        <v>1.0847252031082165E-2</v>
      </c>
      <c r="E68" s="22">
        <f t="shared" si="2"/>
        <v>-29.762787917516633</v>
      </c>
      <c r="F68">
        <f t="shared" si="3"/>
        <v>0.624</v>
      </c>
    </row>
    <row r="69" spans="1:6" x14ac:dyDescent="0.2">
      <c r="A69" s="3">
        <v>48</v>
      </c>
      <c r="B69" s="3">
        <f t="shared" si="4"/>
        <v>202</v>
      </c>
      <c r="C69" s="47">
        <f t="shared" si="5"/>
        <v>0.53465346534653468</v>
      </c>
      <c r="D69" s="19">
        <f t="shared" si="6"/>
        <v>1.0848558616731802E-2</v>
      </c>
      <c r="E69" s="22">
        <f t="shared" si="2"/>
        <v>-29.645919791430941</v>
      </c>
      <c r="F69">
        <f t="shared" si="3"/>
        <v>0.61599999999999999</v>
      </c>
    </row>
    <row r="70" spans="1:6" x14ac:dyDescent="0.2">
      <c r="A70" s="3">
        <v>49</v>
      </c>
      <c r="B70" s="3">
        <f t="shared" si="4"/>
        <v>201</v>
      </c>
      <c r="C70" s="47">
        <f t="shared" si="5"/>
        <v>0.51741293532338306</v>
      </c>
      <c r="D70" s="19">
        <f t="shared" si="6"/>
        <v>1.0849871845259929E-2</v>
      </c>
      <c r="E70" s="22">
        <f t="shared" si="2"/>
        <v>-29.528457490167416</v>
      </c>
      <c r="F70">
        <f t="shared" si="3"/>
        <v>0.60799999999999998</v>
      </c>
    </row>
    <row r="71" spans="1:6" x14ac:dyDescent="0.2">
      <c r="A71" s="3">
        <v>50</v>
      </c>
      <c r="B71" s="3">
        <f t="shared" si="4"/>
        <v>200</v>
      </c>
      <c r="C71" s="47">
        <f t="shared" si="5"/>
        <v>0.5</v>
      </c>
      <c r="D71" s="19">
        <f t="shared" si="6"/>
        <v>1.0851191783742243E-2</v>
      </c>
      <c r="E71" s="22">
        <f t="shared" si="2"/>
        <v>-29.410395014110691</v>
      </c>
      <c r="F71">
        <f t="shared" si="3"/>
        <v>0.6</v>
      </c>
    </row>
    <row r="72" spans="1:6" x14ac:dyDescent="0.2">
      <c r="A72" s="3">
        <v>51</v>
      </c>
      <c r="B72" s="3">
        <f t="shared" si="4"/>
        <v>199</v>
      </c>
      <c r="C72" s="47">
        <f t="shared" si="5"/>
        <v>0.48241206030150752</v>
      </c>
      <c r="D72" s="19">
        <f t="shared" si="6"/>
        <v>1.085251850027138E-2</v>
      </c>
      <c r="E72" s="22">
        <f t="shared" si="2"/>
        <v>-29.291726272685171</v>
      </c>
      <c r="F72">
        <f t="shared" si="3"/>
        <v>0.59199999999999997</v>
      </c>
    </row>
    <row r="73" spans="1:6" x14ac:dyDescent="0.2">
      <c r="A73" s="3">
        <v>52</v>
      </c>
      <c r="B73" s="3">
        <f t="shared" si="4"/>
        <v>198</v>
      </c>
      <c r="C73" s="47">
        <f t="shared" si="5"/>
        <v>0.46464646464646464</v>
      </c>
      <c r="D73" s="19">
        <f t="shared" si="6"/>
        <v>1.0853852063977513E-2</v>
      </c>
      <c r="E73" s="22">
        <f t="shared" si="2"/>
        <v>-29.172445082512265</v>
      </c>
      <c r="F73">
        <f t="shared" si="3"/>
        <v>0.58399999999999996</v>
      </c>
    </row>
    <row r="74" spans="1:6" x14ac:dyDescent="0.2">
      <c r="A74" s="3">
        <v>53</v>
      </c>
      <c r="B74" s="3">
        <f t="shared" si="4"/>
        <v>197</v>
      </c>
      <c r="C74" s="47">
        <f t="shared" si="5"/>
        <v>0.4467005076142132</v>
      </c>
      <c r="D74" s="19">
        <f t="shared" si="6"/>
        <v>1.0855192545049514E-2</v>
      </c>
      <c r="E74" s="22">
        <f t="shared" si="2"/>
        <v>-29.052545165517586</v>
      </c>
      <c r="F74">
        <f t="shared" si="3"/>
        <v>0.57599999999999996</v>
      </c>
    </row>
    <row r="75" spans="1:6" x14ac:dyDescent="0.2">
      <c r="A75" s="3">
        <v>54</v>
      </c>
      <c r="B75" s="3">
        <f t="shared" si="4"/>
        <v>196</v>
      </c>
      <c r="C75" s="47">
        <f t="shared" si="5"/>
        <v>0.42857142857142855</v>
      </c>
      <c r="D75" s="19">
        <f t="shared" si="6"/>
        <v>1.0856540014756617E-2</v>
      </c>
      <c r="E75" s="22">
        <f t="shared" si="2"/>
        <v>-28.932020146993143</v>
      </c>
      <c r="F75">
        <f t="shared" si="3"/>
        <v>0.56799999999999995</v>
      </c>
    </row>
    <row r="76" spans="1:6" x14ac:dyDescent="0.2">
      <c r="A76" s="3">
        <v>55</v>
      </c>
      <c r="B76" s="3">
        <f t="shared" si="4"/>
        <v>195</v>
      </c>
      <c r="C76" s="47">
        <f t="shared" si="5"/>
        <v>0.41025641025641024</v>
      </c>
      <c r="D76" s="19">
        <f t="shared" si="6"/>
        <v>1.0857894545470686E-2</v>
      </c>
      <c r="E76" s="22">
        <f t="shared" si="2"/>
        <v>-28.810863553605959</v>
      </c>
      <c r="F76">
        <f t="shared" si="3"/>
        <v>0.56000000000000005</v>
      </c>
    </row>
    <row r="77" spans="1:6" x14ac:dyDescent="0.2">
      <c r="A77" s="3">
        <v>56</v>
      </c>
      <c r="B77" s="3">
        <f t="shared" si="4"/>
        <v>194</v>
      </c>
      <c r="C77" s="47">
        <f t="shared" si="5"/>
        <v>0.39175257731958762</v>
      </c>
      <c r="D77" s="19">
        <f t="shared" si="6"/>
        <v>1.0859256210689002E-2</v>
      </c>
      <c r="E77" s="22">
        <f t="shared" si="2"/>
        <v>-28.689068811359462</v>
      </c>
      <c r="F77">
        <f t="shared" si="3"/>
        <v>0.55200000000000005</v>
      </c>
    </row>
    <row r="78" spans="1:6" x14ac:dyDescent="0.2">
      <c r="A78" s="3">
        <v>57</v>
      </c>
      <c r="B78" s="3">
        <f t="shared" si="4"/>
        <v>193</v>
      </c>
      <c r="C78" s="47">
        <f t="shared" si="5"/>
        <v>0.37305699481865284</v>
      </c>
      <c r="D78" s="19">
        <f t="shared" si="6"/>
        <v>1.0860625085057692E-2</v>
      </c>
      <c r="E78" s="22">
        <f t="shared" si="2"/>
        <v>-28.566629243498063</v>
      </c>
      <c r="F78">
        <f t="shared" si="3"/>
        <v>0.54400000000000004</v>
      </c>
    </row>
    <row r="79" spans="1:6" x14ac:dyDescent="0.2">
      <c r="A79" s="3">
        <v>58</v>
      </c>
      <c r="B79" s="3">
        <f t="shared" si="4"/>
        <v>192</v>
      </c>
      <c r="C79" s="47">
        <f t="shared" si="5"/>
        <v>0.35416666666666669</v>
      </c>
      <c r="D79" s="19">
        <f t="shared" si="6"/>
        <v>1.0862001244395745E-2</v>
      </c>
      <c r="E79" s="22">
        <f t="shared" si="2"/>
        <v>-28.443538068359196</v>
      </c>
      <c r="F79">
        <f t="shared" si="3"/>
        <v>0.53600000000000003</v>
      </c>
    </row>
    <row r="80" spans="1:6" x14ac:dyDescent="0.2">
      <c r="A80" s="3">
        <v>59</v>
      </c>
      <c r="B80" s="3">
        <f t="shared" si="4"/>
        <v>191</v>
      </c>
      <c r="C80" s="47">
        <f t="shared" si="5"/>
        <v>0.33507853403141363</v>
      </c>
      <c r="D80" s="19">
        <f t="shared" si="6"/>
        <v>1.0863384765719653E-2</v>
      </c>
      <c r="E80" s="22">
        <f t="shared" si="2"/>
        <v>-28.319788397168864</v>
      </c>
      <c r="F80">
        <f t="shared" si="3"/>
        <v>0.52800000000000002</v>
      </c>
    </row>
    <row r="81" spans="1:6" x14ac:dyDescent="0.2">
      <c r="A81" s="3">
        <v>60</v>
      </c>
      <c r="B81" s="3">
        <f t="shared" si="4"/>
        <v>190</v>
      </c>
      <c r="C81" s="47">
        <f t="shared" si="5"/>
        <v>0.31578947368421051</v>
      </c>
      <c r="D81" s="19">
        <f t="shared" si="6"/>
        <v>1.0864775727268714E-2</v>
      </c>
      <c r="E81" s="22">
        <f t="shared" si="2"/>
        <v>-28.195373231778788</v>
      </c>
      <c r="F81">
        <f t="shared" si="3"/>
        <v>0.52</v>
      </c>
    </row>
    <row r="82" spans="1:6" x14ac:dyDescent="0.2">
      <c r="A82" s="3">
        <v>61</v>
      </c>
      <c r="B82" s="3">
        <f t="shared" si="4"/>
        <v>189</v>
      </c>
      <c r="C82" s="47">
        <f t="shared" si="5"/>
        <v>0.29629629629629628</v>
      </c>
      <c r="D82" s="19">
        <f t="shared" si="6"/>
        <v>1.0866174208531013E-2</v>
      </c>
      <c r="E82" s="22">
        <f t="shared" si="2"/>
        <v>-28.070285462342358</v>
      </c>
      <c r="F82">
        <f t="shared" si="3"/>
        <v>0.51200000000000001</v>
      </c>
    </row>
    <row r="83" spans="1:6" x14ac:dyDescent="0.2">
      <c r="A83" s="3">
        <v>62</v>
      </c>
      <c r="B83" s="3">
        <f t="shared" si="4"/>
        <v>188</v>
      </c>
      <c r="C83" s="47">
        <f t="shared" si="5"/>
        <v>0.27659574468085107</v>
      </c>
      <c r="D83" s="19">
        <f t="shared" si="6"/>
        <v>1.086758029027007E-2</v>
      </c>
      <c r="E83" s="22">
        <f t="shared" si="2"/>
        <v>-27.944517864931129</v>
      </c>
      <c r="F83">
        <f t="shared" si="3"/>
        <v>0.504</v>
      </c>
    </row>
    <row r="84" spans="1:6" x14ac:dyDescent="0.2">
      <c r="A84" s="3">
        <v>63</v>
      </c>
      <c r="B84" s="3">
        <f t="shared" si="4"/>
        <v>187</v>
      </c>
      <c r="C84" s="47">
        <f t="shared" si="5"/>
        <v>0.25668449197860965</v>
      </c>
      <c r="D84" s="19">
        <f t="shared" si="6"/>
        <v>1.0868994054552224E-2</v>
      </c>
      <c r="E84" s="22">
        <f t="shared" si="2"/>
        <v>-27.818063099085634</v>
      </c>
      <c r="F84">
        <f t="shared" si="3"/>
        <v>0.496</v>
      </c>
    </row>
    <row r="85" spans="1:6" x14ac:dyDescent="0.2">
      <c r="A85" s="3">
        <v>64</v>
      </c>
      <c r="B85" s="3">
        <f t="shared" si="4"/>
        <v>186</v>
      </c>
      <c r="C85" s="47">
        <f t="shared" ref="C85:C91" si="7">($B$10-A85*$B$5)/B85</f>
        <v>0.23655913978494625</v>
      </c>
      <c r="D85" s="19">
        <f t="shared" ref="D85:D91" si="8">$D$15*(B85/$B$9)^($H$2-1)</f>
        <v>1.0870415584774751E-2</v>
      </c>
      <c r="E85" s="22">
        <f t="shared" si="2"/>
        <v>-27.690913705299636</v>
      </c>
      <c r="F85">
        <f t="shared" si="3"/>
        <v>0.48799999999999999</v>
      </c>
    </row>
    <row r="86" spans="1:6" x14ac:dyDescent="0.2">
      <c r="A86" s="3">
        <v>65</v>
      </c>
      <c r="B86" s="3">
        <f t="shared" si="4"/>
        <v>185</v>
      </c>
      <c r="C86" s="47">
        <f t="shared" si="7"/>
        <v>0.21621621621621623</v>
      </c>
      <c r="D86" s="19">
        <f t="shared" si="8"/>
        <v>1.0871844965694735E-2</v>
      </c>
      <c r="E86" s="22">
        <f t="shared" ref="E86:E91" si="9">(D86/$D$14-1)*1000</f>
        <v>-27.563062102438863</v>
      </c>
      <c r="F86">
        <f t="shared" ref="F86:F91" si="10">(B86-A86)/$B$21</f>
        <v>0.48</v>
      </c>
    </row>
    <row r="87" spans="1:6" x14ac:dyDescent="0.2">
      <c r="A87" s="3">
        <v>66</v>
      </c>
      <c r="B87" s="3">
        <f t="shared" ref="B87:B91" si="11">$B$9-A87</f>
        <v>184</v>
      </c>
      <c r="C87" s="47">
        <f t="shared" si="7"/>
        <v>0.19565217391304349</v>
      </c>
      <c r="D87" s="19">
        <f t="shared" si="8"/>
        <v>1.0873282283458739E-2</v>
      </c>
      <c r="E87" s="22">
        <f t="shared" si="9"/>
        <v>-27.434500585086006</v>
      </c>
      <c r="F87">
        <f t="shared" si="10"/>
        <v>0.47199999999999998</v>
      </c>
    </row>
    <row r="88" spans="1:6" x14ac:dyDescent="0.2">
      <c r="A88" s="3">
        <v>67</v>
      </c>
      <c r="B88" s="3">
        <f t="shared" si="11"/>
        <v>183</v>
      </c>
      <c r="C88" s="47">
        <f t="shared" si="7"/>
        <v>0.17486338797814208</v>
      </c>
      <c r="D88" s="19">
        <f t="shared" si="8"/>
        <v>1.0874727625633265E-2</v>
      </c>
      <c r="E88" s="22">
        <f t="shared" si="9"/>
        <v>-27.305221320817139</v>
      </c>
      <c r="F88">
        <f t="shared" si="10"/>
        <v>0.46400000000000002</v>
      </c>
    </row>
    <row r="89" spans="1:6" x14ac:dyDescent="0.2">
      <c r="A89" s="3">
        <v>68</v>
      </c>
      <c r="B89" s="3">
        <f t="shared" si="11"/>
        <v>182</v>
      </c>
      <c r="C89" s="47">
        <f t="shared" si="7"/>
        <v>0.15384615384615385</v>
      </c>
      <c r="D89" s="19">
        <f t="shared" si="8"/>
        <v>1.0876181081236086E-2</v>
      </c>
      <c r="E89" s="22">
        <f t="shared" si="9"/>
        <v>-27.1752163473985</v>
      </c>
      <c r="F89">
        <f t="shared" si="10"/>
        <v>0.45600000000000002</v>
      </c>
    </row>
    <row r="90" spans="1:6" x14ac:dyDescent="0.2">
      <c r="A90" s="3">
        <v>69</v>
      </c>
      <c r="B90" s="3">
        <f t="shared" si="11"/>
        <v>181</v>
      </c>
      <c r="C90" s="47">
        <f t="shared" si="7"/>
        <v>0.13259668508287292</v>
      </c>
      <c r="D90" s="19">
        <f t="shared" si="8"/>
        <v>1.0877642740768419E-2</v>
      </c>
      <c r="E90" s="22">
        <f t="shared" si="9"/>
        <v>-27.04447756990891</v>
      </c>
      <c r="F90">
        <f t="shared" si="10"/>
        <v>0.44800000000000001</v>
      </c>
    </row>
    <row r="91" spans="1:6" s="51" customFormat="1" x14ac:dyDescent="0.2">
      <c r="A91" s="44">
        <v>70</v>
      </c>
      <c r="B91" s="44">
        <f t="shared" si="11"/>
        <v>180</v>
      </c>
      <c r="C91" s="49">
        <f t="shared" si="7"/>
        <v>0.1111111111111111</v>
      </c>
      <c r="D91" s="50">
        <f t="shared" si="8"/>
        <v>1.0879112696248004E-2</v>
      </c>
      <c r="E91" s="25">
        <f t="shared" si="9"/>
        <v>-26.912996757781471</v>
      </c>
      <c r="F91">
        <f t="shared" si="10"/>
        <v>0.44</v>
      </c>
    </row>
    <row r="92" spans="1:6" x14ac:dyDescent="0.2">
      <c r="A92" s="3"/>
      <c r="B92" s="3"/>
      <c r="C92" s="47"/>
      <c r="D92" s="19"/>
      <c r="E92" s="22"/>
    </row>
    <row r="93" spans="1:6" x14ac:dyDescent="0.2">
      <c r="A93" s="3"/>
      <c r="B93" s="3"/>
      <c r="C93" s="47"/>
      <c r="D93" s="19"/>
      <c r="E93" s="22"/>
    </row>
    <row r="94" spans="1:6" x14ac:dyDescent="0.2">
      <c r="A94" s="3"/>
      <c r="B94" s="3"/>
      <c r="C94" s="47"/>
      <c r="D94" s="19"/>
      <c r="E94" s="22"/>
    </row>
    <row r="95" spans="1:6" x14ac:dyDescent="0.2">
      <c r="A95" s="3"/>
      <c r="B95" s="3"/>
      <c r="C95" s="47"/>
      <c r="D95" s="19"/>
      <c r="E95" s="22"/>
    </row>
  </sheetData>
  <mergeCells count="1">
    <mergeCell ref="G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2F86-39A9-4EA1-95D6-05011AAB9FFC}">
  <dimension ref="A1:D18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35.83203125" bestFit="1" customWidth="1"/>
    <col min="2" max="2" width="10.33203125" bestFit="1" customWidth="1"/>
    <col min="3" max="3" width="12" bestFit="1" customWidth="1"/>
    <col min="4" max="4" width="12.6640625" bestFit="1" customWidth="1"/>
  </cols>
  <sheetData>
    <row r="1" spans="1:4" ht="21" thickBot="1" x14ac:dyDescent="0.25">
      <c r="A1" s="1" t="s">
        <v>55</v>
      </c>
    </row>
    <row r="2" spans="1:4" ht="16" thickTop="1" x14ac:dyDescent="0.2">
      <c r="A2" t="s">
        <v>13</v>
      </c>
      <c r="C2">
        <v>1.1180000000000001E-2</v>
      </c>
    </row>
    <row r="3" spans="1:4" ht="16" x14ac:dyDescent="0.2">
      <c r="C3" s="26" t="s">
        <v>56</v>
      </c>
      <c r="D3" s="26" t="s">
        <v>57</v>
      </c>
    </row>
    <row r="4" spans="1:4" ht="16" x14ac:dyDescent="0.2">
      <c r="A4" s="52" t="s">
        <v>63</v>
      </c>
      <c r="B4" s="52">
        <v>-6</v>
      </c>
      <c r="C4" s="55">
        <f>(1+(B4/1000))*$C$2</f>
        <v>1.111292E-2</v>
      </c>
      <c r="D4" s="55">
        <f>C4/(1+C4)</f>
        <v>1.0990780337373199E-2</v>
      </c>
    </row>
    <row r="5" spans="1:4" ht="16" x14ac:dyDescent="0.2">
      <c r="A5" s="52" t="s">
        <v>58</v>
      </c>
      <c r="B5" s="61">
        <f>'Catagenesis '!E91</f>
        <v>-26.912996757781471</v>
      </c>
      <c r="C5" s="55">
        <f>(1+(B5/1000))*$C$2</f>
        <v>1.0879112696248004E-2</v>
      </c>
      <c r="D5" s="55">
        <f>C5/(1+C5)</f>
        <v>1.0762031344411596E-2</v>
      </c>
    </row>
    <row r="6" spans="1:4" ht="16" x14ac:dyDescent="0.2">
      <c r="A6" s="52"/>
      <c r="B6" s="52"/>
      <c r="C6" s="45"/>
      <c r="D6" s="45"/>
    </row>
    <row r="7" spans="1:4" ht="16" x14ac:dyDescent="0.2">
      <c r="A7" s="53" t="s">
        <v>59</v>
      </c>
      <c r="B7" s="53" t="s">
        <v>60</v>
      </c>
      <c r="C7" s="53" t="s">
        <v>61</v>
      </c>
      <c r="D7" s="53" t="s">
        <v>62</v>
      </c>
    </row>
    <row r="8" spans="1:4" x14ac:dyDescent="0.2">
      <c r="A8" s="45">
        <v>1</v>
      </c>
      <c r="B8" s="54">
        <f t="shared" ref="B8:B17" si="0">$D$5*A8+$D$4*(1-A8)</f>
        <v>1.0762031344411596E-2</v>
      </c>
      <c r="C8" s="19">
        <f>B8/(1-B8)</f>
        <v>1.0879112696248004E-2</v>
      </c>
      <c r="D8" s="46">
        <f>((C8/$C$2)-1)*1000</f>
        <v>-26.912996757781471</v>
      </c>
    </row>
    <row r="9" spans="1:4" x14ac:dyDescent="0.2">
      <c r="A9" s="45">
        <v>0.9</v>
      </c>
      <c r="B9" s="54">
        <f t="shared" si="0"/>
        <v>1.0784906243707757E-2</v>
      </c>
      <c r="C9" s="19">
        <f>B9/(1-B9)</f>
        <v>1.0902488560657545E-2</v>
      </c>
      <c r="D9" s="46">
        <f>((C9/$C$2)-1)*1000</f>
        <v>-24.822132320434285</v>
      </c>
    </row>
    <row r="10" spans="1:4" x14ac:dyDescent="0.2">
      <c r="A10" s="45">
        <v>0.8</v>
      </c>
      <c r="B10" s="54">
        <f t="shared" si="0"/>
        <v>1.0807781143003917E-2</v>
      </c>
      <c r="C10" s="19">
        <f t="shared" ref="C10:C18" si="1">B10/(1-B10)</f>
        <v>1.0925865506192744E-2</v>
      </c>
      <c r="D10" s="46">
        <f t="shared" ref="D10:D18" si="2">((C10/$C$2)-1)*1000</f>
        <v>-22.731171181328836</v>
      </c>
    </row>
    <row r="11" spans="1:4" x14ac:dyDescent="0.2">
      <c r="A11" s="45">
        <v>0.7</v>
      </c>
      <c r="B11" s="54">
        <f t="shared" si="0"/>
        <v>1.0830656042300078E-2</v>
      </c>
      <c r="C11" s="19">
        <f t="shared" si="1"/>
        <v>1.0949243532928605E-2</v>
      </c>
      <c r="D11" s="46">
        <f t="shared" si="2"/>
        <v>-20.640113333756371</v>
      </c>
    </row>
    <row r="12" spans="1:4" x14ac:dyDescent="0.2">
      <c r="A12" s="45">
        <v>0.6</v>
      </c>
      <c r="B12" s="54">
        <f t="shared" si="0"/>
        <v>1.0853530941596237E-2</v>
      </c>
      <c r="C12" s="19">
        <f t="shared" si="1"/>
        <v>1.0972622640940141E-2</v>
      </c>
      <c r="D12" s="46">
        <f t="shared" si="2"/>
        <v>-18.54895877100715</v>
      </c>
    </row>
    <row r="13" spans="1:4" x14ac:dyDescent="0.2">
      <c r="A13" s="45">
        <v>0.5</v>
      </c>
      <c r="B13" s="54">
        <f t="shared" si="0"/>
        <v>1.0876405840892398E-2</v>
      </c>
      <c r="C13" s="19">
        <f t="shared" si="1"/>
        <v>1.0996002830302368E-2</v>
      </c>
      <c r="D13" s="46">
        <f t="shared" si="2"/>
        <v>-16.457707486371433</v>
      </c>
    </row>
    <row r="14" spans="1:4" x14ac:dyDescent="0.2">
      <c r="A14" s="45">
        <v>0.4</v>
      </c>
      <c r="B14" s="54">
        <f t="shared" si="0"/>
        <v>1.0899280740188559E-2</v>
      </c>
      <c r="C14" s="19">
        <f t="shared" si="1"/>
        <v>1.1019384101090312E-2</v>
      </c>
      <c r="D14" s="46">
        <f t="shared" si="2"/>
        <v>-14.36635947313858</v>
      </c>
    </row>
    <row r="15" spans="1:4" x14ac:dyDescent="0.2">
      <c r="A15" s="45">
        <v>0.3</v>
      </c>
      <c r="B15" s="54">
        <f t="shared" si="0"/>
        <v>1.0922155639484718E-2</v>
      </c>
      <c r="C15" s="19">
        <f t="shared" si="1"/>
        <v>1.1042766453379003E-2</v>
      </c>
      <c r="D15" s="46">
        <f t="shared" si="2"/>
        <v>-12.274914724597297</v>
      </c>
    </row>
    <row r="16" spans="1:4" x14ac:dyDescent="0.2">
      <c r="A16" s="45">
        <v>0.2</v>
      </c>
      <c r="B16" s="54">
        <f t="shared" si="0"/>
        <v>1.0945030538780879E-2</v>
      </c>
      <c r="C16" s="19">
        <f t="shared" si="1"/>
        <v>1.1066149887243486E-2</v>
      </c>
      <c r="D16" s="46">
        <f t="shared" si="2"/>
        <v>-10.183373234035287</v>
      </c>
    </row>
    <row r="17" spans="1:4" x14ac:dyDescent="0.2">
      <c r="A17" s="45">
        <v>0.1</v>
      </c>
      <c r="B17" s="54">
        <f t="shared" si="0"/>
        <v>1.0967905438077038E-2</v>
      </c>
      <c r="C17" s="19">
        <f t="shared" si="1"/>
        <v>1.1089534402758798E-2</v>
      </c>
      <c r="D17" s="46">
        <f t="shared" si="2"/>
        <v>-8.0917349947408077</v>
      </c>
    </row>
    <row r="18" spans="1:4" x14ac:dyDescent="0.2">
      <c r="A18" s="45">
        <v>0</v>
      </c>
      <c r="B18" s="54">
        <f t="shared" ref="B18" si="3">$D$5*A18+$D$4*(1-A18)</f>
        <v>1.0990780337373199E-2</v>
      </c>
      <c r="C18" s="19">
        <f t="shared" si="1"/>
        <v>1.111292E-2</v>
      </c>
      <c r="D18" s="46">
        <f t="shared" si="2"/>
        <v>-6.0000000000000053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02FA-D0D5-764C-8E92-C07B4D63F30F}">
  <dimension ref="A1:B23"/>
  <sheetViews>
    <sheetView workbookViewId="0">
      <selection activeCell="E12" sqref="E12"/>
    </sheetView>
  </sheetViews>
  <sheetFormatPr baseColWidth="10" defaultRowHeight="15" x14ac:dyDescent="0.2"/>
  <sheetData>
    <row r="1" spans="1:2" x14ac:dyDescent="0.2">
      <c r="A1" t="s">
        <v>64</v>
      </c>
    </row>
    <row r="3" spans="1:2" ht="16" x14ac:dyDescent="0.2">
      <c r="A3" s="66" t="s">
        <v>65</v>
      </c>
      <c r="B3" s="66"/>
    </row>
    <row r="4" spans="1:2" ht="16" x14ac:dyDescent="0.2">
      <c r="A4" s="62" t="s">
        <v>52</v>
      </c>
      <c r="B4" s="62" t="s">
        <v>66</v>
      </c>
    </row>
    <row r="5" spans="1:2" ht="16" x14ac:dyDescent="0.25">
      <c r="A5" s="63">
        <v>0.1</v>
      </c>
      <c r="B5" s="45">
        <v>-28.693000000000001</v>
      </c>
    </row>
    <row r="6" spans="1:2" ht="16" x14ac:dyDescent="0.25">
      <c r="A6" s="63">
        <v>0.20200000000000001</v>
      </c>
      <c r="B6" s="45">
        <v>-29.847999999999999</v>
      </c>
    </row>
    <row r="7" spans="1:2" ht="16" x14ac:dyDescent="0.25">
      <c r="A7" s="63">
        <v>0.30299999999999999</v>
      </c>
      <c r="B7" s="45">
        <v>-30.741</v>
      </c>
    </row>
    <row r="8" spans="1:2" ht="16" x14ac:dyDescent="0.25">
      <c r="A8" s="63">
        <v>0.39800000000000002</v>
      </c>
      <c r="B8" s="45">
        <v>-30.443000000000001</v>
      </c>
    </row>
    <row r="9" spans="1:2" ht="16" x14ac:dyDescent="0.25">
      <c r="A9" s="63">
        <v>0.49399999999999999</v>
      </c>
      <c r="B9" s="45">
        <v>-31.585000000000001</v>
      </c>
    </row>
    <row r="10" spans="1:2" ht="16" x14ac:dyDescent="0.25">
      <c r="A10" s="63">
        <v>0.59699999999999998</v>
      </c>
      <c r="B10" s="45">
        <v>-31.547999999999998</v>
      </c>
    </row>
    <row r="11" spans="1:2" ht="16" x14ac:dyDescent="0.25">
      <c r="A11" s="63">
        <v>0.69699999999999995</v>
      </c>
      <c r="B11" s="45">
        <v>-31.759</v>
      </c>
    </row>
    <row r="12" spans="1:2" x14ac:dyDescent="0.2">
      <c r="A12" s="45">
        <v>1.2</v>
      </c>
      <c r="B12" s="45">
        <f>-4.8522*A12-28.725</f>
        <v>-34.547640000000001</v>
      </c>
    </row>
    <row r="13" spans="1:2" x14ac:dyDescent="0.2">
      <c r="A13" s="45"/>
    </row>
    <row r="16" spans="1:2" ht="16" x14ac:dyDescent="0.2">
      <c r="A16" s="66" t="s">
        <v>67</v>
      </c>
      <c r="B16" s="66"/>
    </row>
    <row r="17" spans="1:2" ht="16" x14ac:dyDescent="0.2">
      <c r="A17" s="62" t="s">
        <v>52</v>
      </c>
      <c r="B17" s="62" t="s">
        <v>66</v>
      </c>
    </row>
    <row r="18" spans="1:2" ht="16" x14ac:dyDescent="0.25">
      <c r="A18" s="63">
        <v>0.20200000000000001</v>
      </c>
      <c r="B18" s="45">
        <v>-26.699000000000002</v>
      </c>
    </row>
    <row r="19" spans="1:2" ht="16" x14ac:dyDescent="0.25">
      <c r="A19" s="63">
        <v>0.29799999999999999</v>
      </c>
      <c r="B19" s="45">
        <v>-27.023</v>
      </c>
    </row>
    <row r="20" spans="1:2" ht="16" x14ac:dyDescent="0.25">
      <c r="A20" s="63">
        <v>0.4</v>
      </c>
      <c r="B20" s="45">
        <v>-27.222999999999999</v>
      </c>
    </row>
    <row r="21" spans="1:2" ht="16" x14ac:dyDescent="0.25">
      <c r="A21" s="63">
        <v>0.49399999999999999</v>
      </c>
      <c r="B21" s="45">
        <v>-28.594999999999999</v>
      </c>
    </row>
    <row r="22" spans="1:2" ht="16" x14ac:dyDescent="0.25">
      <c r="A22" s="63">
        <v>0.59599999999999997</v>
      </c>
      <c r="B22" s="45">
        <v>-28.408000000000001</v>
      </c>
    </row>
    <row r="23" spans="1:2" ht="16" x14ac:dyDescent="0.25">
      <c r="A23" s="63">
        <v>0.69699999999999995</v>
      </c>
      <c r="B23" s="45">
        <v>-29.07</v>
      </c>
    </row>
  </sheetData>
  <mergeCells count="2">
    <mergeCell ref="A3:B3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Diagenesis</vt:lpstr>
      <vt:lpstr>Catagenesis </vt:lpstr>
      <vt:lpstr>metagenesis </vt:lpstr>
      <vt:lpstr>desMarais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Lotem, Noam</dc:creator>
  <cp:lastModifiedBy>Microsoft Office User</cp:lastModifiedBy>
  <dcterms:created xsi:type="dcterms:W3CDTF">2023-08-17T16:46:01Z</dcterms:created>
  <dcterms:modified xsi:type="dcterms:W3CDTF">2023-08-25T00:13:11Z</dcterms:modified>
</cp:coreProperties>
</file>