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zeichner/Documents/Caltech/Research/Hayabusa2/Science submission/For Publication/Supplemental files/"/>
    </mc:Choice>
  </mc:AlternateContent>
  <xr:revisionPtr revIDLastSave="0" documentId="13_ncr:1_{F6D4C73B-27BE-AD48-B4FA-036D52AB5EC4}" xr6:coauthVersionLast="47" xr6:coauthVersionMax="47" xr10:uidLastSave="{00000000-0000-0000-0000-000000000000}"/>
  <bookViews>
    <workbookView xWindow="520" yWindow="760" windowWidth="22900" windowHeight="20740" activeTab="3" xr2:uid="{1C1E4B6F-68D7-0A44-8621-6D64EF3FA6B3}"/>
  </bookViews>
  <sheets>
    <sheet name="gingko ash" sheetId="5" r:id="rId1"/>
    <sheet name="cycads ash" sheetId="4" r:id="rId2"/>
    <sheet name="marri ash" sheetId="1" r:id="rId3"/>
    <sheet name="2x13C computation-FINAL" sheetId="10" r:id="rId4"/>
    <sheet name="2x13C computation-v2" sheetId="11" r:id="rId5"/>
    <sheet name="2x13C computation-v1" sheetId="6" r:id="rId6"/>
    <sheet name="Karp 2020 vals" sheetId="7" r:id="rId7"/>
    <sheet name="Karp 2020 concentrations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0" i="10" l="1"/>
  <c r="V33" i="10"/>
  <c r="V35" i="10" l="1"/>
  <c r="W43" i="10"/>
  <c r="W42" i="10"/>
  <c r="Q43" i="10"/>
  <c r="Q42" i="10"/>
  <c r="Q40" i="10"/>
  <c r="K41" i="10"/>
  <c r="K42" i="10"/>
  <c r="K43" i="10"/>
  <c r="K40" i="10"/>
  <c r="W45" i="1"/>
  <c r="U45" i="1"/>
  <c r="F45" i="1"/>
  <c r="U16" i="1"/>
  <c r="U15" i="1"/>
  <c r="U14" i="1"/>
  <c r="F45" i="5"/>
  <c r="AL45" i="1"/>
  <c r="AI31" i="5"/>
  <c r="B21" i="10"/>
  <c r="B22" i="10"/>
  <c r="B23" i="10"/>
  <c r="B24" i="10"/>
  <c r="B25" i="10"/>
  <c r="B26" i="10"/>
  <c r="B27" i="10"/>
  <c r="B28" i="10"/>
  <c r="F33" i="10"/>
  <c r="D33" i="10"/>
  <c r="H27" i="11"/>
  <c r="M10" i="11"/>
  <c r="M11" i="11"/>
  <c r="M12" i="11"/>
  <c r="M13" i="11"/>
  <c r="M14" i="11"/>
  <c r="M15" i="11"/>
  <c r="M16" i="11"/>
  <c r="M17" i="11"/>
  <c r="M18" i="11"/>
  <c r="M19" i="11"/>
  <c r="M20" i="11"/>
  <c r="N13" i="11"/>
  <c r="J11" i="11"/>
  <c r="J12" i="11"/>
  <c r="J13" i="11"/>
  <c r="K13" i="11" s="1"/>
  <c r="J14" i="11"/>
  <c r="J15" i="11"/>
  <c r="J16" i="11"/>
  <c r="J17" i="11"/>
  <c r="J18" i="11"/>
  <c r="J19" i="11"/>
  <c r="J20" i="11"/>
  <c r="J10" i="11"/>
  <c r="G11" i="11"/>
  <c r="G12" i="11"/>
  <c r="G13" i="11"/>
  <c r="G14" i="11"/>
  <c r="G15" i="11"/>
  <c r="H15" i="11" s="1"/>
  <c r="G16" i="11"/>
  <c r="G17" i="11"/>
  <c r="G18" i="11"/>
  <c r="G19" i="11"/>
  <c r="H19" i="11" s="1"/>
  <c r="G20" i="11"/>
  <c r="H20" i="11" s="1"/>
  <c r="G10" i="11"/>
  <c r="F10" i="11"/>
  <c r="H10" i="11" s="1"/>
  <c r="I10" i="11"/>
  <c r="L10" i="11"/>
  <c r="N10" i="11"/>
  <c r="F11" i="11"/>
  <c r="H11" i="11"/>
  <c r="I11" i="11"/>
  <c r="K11" i="11" s="1"/>
  <c r="L11" i="11"/>
  <c r="N11" i="11" s="1"/>
  <c r="F12" i="11"/>
  <c r="H12" i="11"/>
  <c r="I12" i="11"/>
  <c r="K12" i="11"/>
  <c r="L12" i="11"/>
  <c r="N12" i="11" s="1"/>
  <c r="F13" i="11"/>
  <c r="H13" i="11" s="1"/>
  <c r="I13" i="11"/>
  <c r="L13" i="11"/>
  <c r="F14" i="11"/>
  <c r="H14" i="11" s="1"/>
  <c r="I14" i="11"/>
  <c r="K14" i="11" s="1"/>
  <c r="L14" i="11"/>
  <c r="N14" i="11"/>
  <c r="F15" i="11"/>
  <c r="I15" i="11"/>
  <c r="L15" i="11"/>
  <c r="N15" i="11" s="1"/>
  <c r="F16" i="11"/>
  <c r="H16" i="11"/>
  <c r="I16" i="11"/>
  <c r="K16" i="11"/>
  <c r="L16" i="11"/>
  <c r="F17" i="11"/>
  <c r="I17" i="11"/>
  <c r="K17" i="11"/>
  <c r="L17" i="11"/>
  <c r="N17" i="11"/>
  <c r="F18" i="11"/>
  <c r="H18" i="11" s="1"/>
  <c r="I18" i="11"/>
  <c r="L18" i="11"/>
  <c r="N18" i="11"/>
  <c r="F19" i="11"/>
  <c r="I19" i="11"/>
  <c r="L19" i="11"/>
  <c r="F20" i="11"/>
  <c r="I20" i="11"/>
  <c r="K20" i="11"/>
  <c r="L20" i="11"/>
  <c r="J33" i="10" l="1"/>
  <c r="N20" i="11"/>
  <c r="N19" i="11"/>
  <c r="N16" i="11"/>
  <c r="K19" i="11"/>
  <c r="K18" i="11"/>
  <c r="K15" i="11"/>
  <c r="K10" i="11"/>
  <c r="H17" i="11"/>
  <c r="I34" i="11" l="1"/>
  <c r="S47" i="11" l="1"/>
  <c r="U46" i="11"/>
  <c r="T46" i="11"/>
  <c r="S46" i="11"/>
  <c r="S45" i="11"/>
  <c r="U44" i="11"/>
  <c r="T44" i="11"/>
  <c r="S44" i="11"/>
  <c r="S43" i="11"/>
  <c r="U42" i="11"/>
  <c r="T42" i="11"/>
  <c r="S42" i="11"/>
  <c r="Q37" i="11"/>
  <c r="O37" i="11"/>
  <c r="N37" i="11"/>
  <c r="M37" i="11"/>
  <c r="K37" i="11"/>
  <c r="J37" i="11"/>
  <c r="I37" i="11"/>
  <c r="G37" i="11"/>
  <c r="H37" i="11" s="1"/>
  <c r="F37" i="11"/>
  <c r="Q36" i="11"/>
  <c r="O36" i="11"/>
  <c r="N36" i="11"/>
  <c r="M36" i="11"/>
  <c r="K36" i="11"/>
  <c r="L36" i="11" s="1"/>
  <c r="J36" i="11"/>
  <c r="I36" i="11"/>
  <c r="G36" i="11"/>
  <c r="F36" i="11"/>
  <c r="I35" i="11"/>
  <c r="G35" i="11"/>
  <c r="F35" i="11"/>
  <c r="Q34" i="11"/>
  <c r="O34" i="11"/>
  <c r="N34" i="11"/>
  <c r="M34" i="11"/>
  <c r="K34" i="11"/>
  <c r="J34" i="11"/>
  <c r="G34" i="11"/>
  <c r="F34" i="11"/>
  <c r="O30" i="11"/>
  <c r="N30" i="11"/>
  <c r="K30" i="11"/>
  <c r="J30" i="11"/>
  <c r="L30" i="11" s="1"/>
  <c r="M30" i="11" s="1"/>
  <c r="G30" i="11"/>
  <c r="F30" i="11"/>
  <c r="E30" i="11"/>
  <c r="D30" i="11"/>
  <c r="H30" i="11" s="1"/>
  <c r="I30" i="11" s="1"/>
  <c r="O29" i="11"/>
  <c r="N29" i="11"/>
  <c r="L29" i="11"/>
  <c r="M29" i="11" s="1"/>
  <c r="K29" i="11"/>
  <c r="J29" i="11"/>
  <c r="G29" i="11"/>
  <c r="F29" i="11"/>
  <c r="E29" i="11"/>
  <c r="D29" i="11"/>
  <c r="P29" i="11" s="1"/>
  <c r="G28" i="11"/>
  <c r="F28" i="11"/>
  <c r="H28" i="11" s="1"/>
  <c r="E28" i="11"/>
  <c r="D28" i="11"/>
  <c r="O27" i="11"/>
  <c r="N27" i="11"/>
  <c r="K27" i="11"/>
  <c r="J27" i="11"/>
  <c r="L27" i="11" s="1"/>
  <c r="M27" i="11" s="1"/>
  <c r="H34" i="11"/>
  <c r="G27" i="11"/>
  <c r="F27" i="11"/>
  <c r="E27" i="11"/>
  <c r="D27" i="11"/>
  <c r="P27" i="11" s="1"/>
  <c r="Q27" i="11" s="1"/>
  <c r="B20" i="11"/>
  <c r="C20" i="11" s="1"/>
  <c r="D20" i="11" s="1"/>
  <c r="E20" i="11" s="1"/>
  <c r="B19" i="11"/>
  <c r="C19" i="11" s="1"/>
  <c r="D19" i="11" s="1"/>
  <c r="E19" i="11" s="1"/>
  <c r="B18" i="11"/>
  <c r="C18" i="11" s="1"/>
  <c r="D18" i="11" s="1"/>
  <c r="E18" i="11" s="1"/>
  <c r="B17" i="11"/>
  <c r="C17" i="11" s="1"/>
  <c r="D17" i="11" s="1"/>
  <c r="E17" i="11" s="1"/>
  <c r="B16" i="11"/>
  <c r="C16" i="11" s="1"/>
  <c r="D16" i="11" s="1"/>
  <c r="E16" i="11" s="1"/>
  <c r="B15" i="11"/>
  <c r="C15" i="11" s="1"/>
  <c r="D15" i="11" s="1"/>
  <c r="E15" i="11" s="1"/>
  <c r="B14" i="11"/>
  <c r="C14" i="11" s="1"/>
  <c r="D14" i="11" s="1"/>
  <c r="E14" i="11" s="1"/>
  <c r="B13" i="11"/>
  <c r="C13" i="11" s="1"/>
  <c r="D13" i="11" s="1"/>
  <c r="E13" i="11" s="1"/>
  <c r="C12" i="11"/>
  <c r="D12" i="11" s="1"/>
  <c r="E12" i="11" s="1"/>
  <c r="B12" i="11"/>
  <c r="B11" i="11"/>
  <c r="C11" i="11" s="1"/>
  <c r="D11" i="11" s="1"/>
  <c r="E11" i="11" s="1"/>
  <c r="B10" i="11"/>
  <c r="C10" i="11" s="1"/>
  <c r="D10" i="11" s="1"/>
  <c r="E10" i="11" s="1"/>
  <c r="B5" i="11"/>
  <c r="C5" i="11" s="1"/>
  <c r="H4" i="11"/>
  <c r="G4" i="11"/>
  <c r="F4" i="11"/>
  <c r="B4" i="11"/>
  <c r="H3" i="11"/>
  <c r="G3" i="11"/>
  <c r="F3" i="11"/>
  <c r="B3" i="11"/>
  <c r="AJ44" i="4"/>
  <c r="AJ29" i="4"/>
  <c r="AX31" i="5"/>
  <c r="H27" i="6"/>
  <c r="H28" i="6"/>
  <c r="H29" i="6"/>
  <c r="U43" i="10"/>
  <c r="S43" i="10"/>
  <c r="R43" i="10"/>
  <c r="O43" i="10"/>
  <c r="M43" i="10"/>
  <c r="L43" i="10"/>
  <c r="I43" i="10"/>
  <c r="G43" i="10"/>
  <c r="F43" i="10"/>
  <c r="U42" i="10"/>
  <c r="S42" i="10"/>
  <c r="R42" i="10"/>
  <c r="O42" i="10"/>
  <c r="M42" i="10"/>
  <c r="L42" i="10"/>
  <c r="I42" i="10"/>
  <c r="G42" i="10"/>
  <c r="F42" i="10"/>
  <c r="I41" i="10"/>
  <c r="G41" i="10"/>
  <c r="F41" i="10"/>
  <c r="U40" i="10"/>
  <c r="S40" i="10"/>
  <c r="R40" i="10"/>
  <c r="O40" i="10"/>
  <c r="M40" i="10"/>
  <c r="L40" i="10"/>
  <c r="I40" i="10"/>
  <c r="G40" i="10"/>
  <c r="F40" i="10"/>
  <c r="S36" i="10"/>
  <c r="R36" i="10"/>
  <c r="V36" i="10" s="1"/>
  <c r="M36" i="10"/>
  <c r="L36" i="10"/>
  <c r="P36" i="10" s="1"/>
  <c r="G36" i="10"/>
  <c r="F36" i="10"/>
  <c r="J36" i="10" s="1"/>
  <c r="E36" i="10"/>
  <c r="D36" i="10"/>
  <c r="S35" i="10"/>
  <c r="R35" i="10"/>
  <c r="M35" i="10"/>
  <c r="L35" i="10"/>
  <c r="G35" i="10"/>
  <c r="F35" i="10"/>
  <c r="E35" i="10"/>
  <c r="D35" i="10"/>
  <c r="G34" i="10"/>
  <c r="F34" i="10"/>
  <c r="J34" i="10" s="1"/>
  <c r="E34" i="10"/>
  <c r="D34" i="10"/>
  <c r="S33" i="10"/>
  <c r="R33" i="10"/>
  <c r="M33" i="10"/>
  <c r="L33" i="10"/>
  <c r="P33" i="10" s="1"/>
  <c r="G33" i="10"/>
  <c r="E33" i="10"/>
  <c r="B20" i="10"/>
  <c r="B19" i="10"/>
  <c r="B18" i="10"/>
  <c r="B17" i="10"/>
  <c r="B16" i="10"/>
  <c r="B15" i="10"/>
  <c r="B14" i="10"/>
  <c r="B13" i="10"/>
  <c r="B12" i="10"/>
  <c r="B11" i="10"/>
  <c r="B10" i="10"/>
  <c r="B3" i="10"/>
  <c r="H3" i="10" s="1"/>
  <c r="I27" i="6"/>
  <c r="E30" i="6"/>
  <c r="D30" i="6"/>
  <c r="E29" i="6"/>
  <c r="D29" i="6"/>
  <c r="E28" i="6"/>
  <c r="D28" i="6"/>
  <c r="E27" i="6"/>
  <c r="D27" i="6"/>
  <c r="Q37" i="6"/>
  <c r="O37" i="6"/>
  <c r="Q36" i="6"/>
  <c r="O36" i="6"/>
  <c r="Q34" i="6"/>
  <c r="O34" i="6"/>
  <c r="M37" i="6"/>
  <c r="K37" i="6"/>
  <c r="M36" i="6"/>
  <c r="K36" i="6"/>
  <c r="M34" i="6"/>
  <c r="K34" i="6"/>
  <c r="I37" i="6"/>
  <c r="G37" i="6"/>
  <c r="I36" i="6"/>
  <c r="G36" i="6"/>
  <c r="I35" i="6"/>
  <c r="G35" i="6"/>
  <c r="I34" i="6"/>
  <c r="G34" i="6"/>
  <c r="S42" i="6"/>
  <c r="T42" i="6"/>
  <c r="U42" i="6"/>
  <c r="S43" i="6"/>
  <c r="S44" i="6"/>
  <c r="T44" i="6"/>
  <c r="U44" i="6"/>
  <c r="S45" i="6"/>
  <c r="S46" i="6"/>
  <c r="T46" i="6"/>
  <c r="U46" i="6"/>
  <c r="S47" i="6"/>
  <c r="O30" i="6"/>
  <c r="N30" i="6"/>
  <c r="O29" i="6"/>
  <c r="N29" i="6"/>
  <c r="O27" i="6"/>
  <c r="N27" i="6"/>
  <c r="K30" i="6"/>
  <c r="J30" i="6"/>
  <c r="K29" i="6"/>
  <c r="J29" i="6"/>
  <c r="K27" i="6"/>
  <c r="J27" i="6"/>
  <c r="G30" i="6"/>
  <c r="F30" i="6"/>
  <c r="G29" i="6"/>
  <c r="F29" i="6"/>
  <c r="G28" i="6"/>
  <c r="F28" i="6"/>
  <c r="G27" i="6"/>
  <c r="F27" i="6"/>
  <c r="D13" i="1"/>
  <c r="S27" i="4"/>
  <c r="S26" i="4"/>
  <c r="P35" i="10" l="1"/>
  <c r="J35" i="10"/>
  <c r="B4" i="10"/>
  <c r="F4" i="10"/>
  <c r="H4" i="10"/>
  <c r="G4" i="10"/>
  <c r="P34" i="11"/>
  <c r="L37" i="11"/>
  <c r="L34" i="11"/>
  <c r="P36" i="11"/>
  <c r="Q29" i="11"/>
  <c r="H35" i="11"/>
  <c r="I28" i="11"/>
  <c r="H29" i="11"/>
  <c r="I29" i="11" s="1"/>
  <c r="I27" i="11"/>
  <c r="P30" i="11"/>
  <c r="Q30" i="11" s="1"/>
  <c r="G3" i="10"/>
  <c r="B5" i="10"/>
  <c r="F3" i="10"/>
  <c r="C15" i="10" l="1"/>
  <c r="D15" i="10" s="1"/>
  <c r="E15" i="10" s="1"/>
  <c r="I15" i="10" s="1"/>
  <c r="C25" i="10"/>
  <c r="D25" i="10" s="1"/>
  <c r="E25" i="10" s="1"/>
  <c r="C23" i="10"/>
  <c r="D23" i="10" s="1"/>
  <c r="E23" i="10" s="1"/>
  <c r="C26" i="10"/>
  <c r="D26" i="10" s="1"/>
  <c r="E26" i="10" s="1"/>
  <c r="C24" i="10"/>
  <c r="D24" i="10" s="1"/>
  <c r="E24" i="10" s="1"/>
  <c r="C28" i="10"/>
  <c r="D28" i="10" s="1"/>
  <c r="E28" i="10" s="1"/>
  <c r="C22" i="10"/>
  <c r="D22" i="10" s="1"/>
  <c r="E22" i="10" s="1"/>
  <c r="C21" i="10"/>
  <c r="D21" i="10" s="1"/>
  <c r="E21" i="10" s="1"/>
  <c r="C27" i="10"/>
  <c r="D27" i="10" s="1"/>
  <c r="E27" i="10" s="1"/>
  <c r="J15" i="10"/>
  <c r="K15" i="10" s="1"/>
  <c r="C16" i="10"/>
  <c r="D16" i="10" s="1"/>
  <c r="E16" i="10" s="1"/>
  <c r="I16" i="10" s="1"/>
  <c r="C5" i="10"/>
  <c r="C20" i="10"/>
  <c r="D20" i="10" s="1"/>
  <c r="E20" i="10" s="1"/>
  <c r="I20" i="10" s="1"/>
  <c r="C19" i="10"/>
  <c r="D19" i="10" s="1"/>
  <c r="E19" i="10" s="1"/>
  <c r="F19" i="10" s="1"/>
  <c r="L15" i="10"/>
  <c r="C18" i="10"/>
  <c r="D18" i="10" s="1"/>
  <c r="E18" i="10" s="1"/>
  <c r="I18" i="10" s="1"/>
  <c r="F15" i="10"/>
  <c r="C10" i="10"/>
  <c r="D10" i="10" s="1"/>
  <c r="E10" i="10" s="1"/>
  <c r="L10" i="10" s="1"/>
  <c r="C14" i="10"/>
  <c r="D14" i="10" s="1"/>
  <c r="E14" i="10" s="1"/>
  <c r="L14" i="10" s="1"/>
  <c r="C11" i="10"/>
  <c r="D11" i="10" s="1"/>
  <c r="E11" i="10" s="1"/>
  <c r="L11" i="10" s="1"/>
  <c r="C17" i="10"/>
  <c r="D17" i="10" s="1"/>
  <c r="E17" i="10" s="1"/>
  <c r="I17" i="10" s="1"/>
  <c r="C13" i="10"/>
  <c r="D13" i="10" s="1"/>
  <c r="E13" i="10" s="1"/>
  <c r="I13" i="10" s="1"/>
  <c r="C12" i="10"/>
  <c r="D12" i="10" s="1"/>
  <c r="E12" i="10" s="1"/>
  <c r="I12" i="10" s="1"/>
  <c r="P37" i="11"/>
  <c r="H36" i="11"/>
  <c r="L19" i="10"/>
  <c r="I19" i="10"/>
  <c r="I26" i="10" l="1"/>
  <c r="J26" i="10" s="1"/>
  <c r="K26" i="10" s="1"/>
  <c r="L26" i="10"/>
  <c r="M26" i="10" s="1"/>
  <c r="N26" i="10" s="1"/>
  <c r="F26" i="10"/>
  <c r="G26" i="10" s="1"/>
  <c r="H26" i="10" s="1"/>
  <c r="F27" i="10"/>
  <c r="G27" i="10" s="1"/>
  <c r="H27" i="10" s="1"/>
  <c r="I27" i="10"/>
  <c r="J27" i="10" s="1"/>
  <c r="K27" i="10" s="1"/>
  <c r="L27" i="10"/>
  <c r="M27" i="10" s="1"/>
  <c r="N27" i="10" s="1"/>
  <c r="L24" i="10"/>
  <c r="M24" i="10" s="1"/>
  <c r="N24" i="10" s="1"/>
  <c r="I24" i="10"/>
  <c r="J24" i="10" s="1"/>
  <c r="K24" i="10" s="1"/>
  <c r="F24" i="10"/>
  <c r="G24" i="10" s="1"/>
  <c r="H24" i="10" s="1"/>
  <c r="L23" i="10"/>
  <c r="M23" i="10" s="1"/>
  <c r="N23" i="10" s="1"/>
  <c r="F23" i="10"/>
  <c r="G23" i="10" s="1"/>
  <c r="H23" i="10" s="1"/>
  <c r="I23" i="10"/>
  <c r="J23" i="10" s="1"/>
  <c r="K23" i="10" s="1"/>
  <c r="F22" i="10"/>
  <c r="G22" i="10" s="1"/>
  <c r="H22" i="10" s="1"/>
  <c r="L22" i="10"/>
  <c r="M22" i="10" s="1"/>
  <c r="N22" i="10" s="1"/>
  <c r="I22" i="10"/>
  <c r="J22" i="10" s="1"/>
  <c r="K22" i="10" s="1"/>
  <c r="I28" i="10"/>
  <c r="J28" i="10" s="1"/>
  <c r="K28" i="10" s="1"/>
  <c r="L28" i="10"/>
  <c r="M28" i="10" s="1"/>
  <c r="N28" i="10" s="1"/>
  <c r="F28" i="10"/>
  <c r="G28" i="10" s="1"/>
  <c r="H28" i="10" s="1"/>
  <c r="F16" i="10"/>
  <c r="I25" i="10"/>
  <c r="J25" i="10" s="1"/>
  <c r="K25" i="10" s="1"/>
  <c r="F25" i="10"/>
  <c r="G25" i="10" s="1"/>
  <c r="H25" i="10" s="1"/>
  <c r="L25" i="10"/>
  <c r="M25" i="10" s="1"/>
  <c r="N25" i="10" s="1"/>
  <c r="L21" i="10"/>
  <c r="M21" i="10" s="1"/>
  <c r="N21" i="10" s="1"/>
  <c r="F21" i="10"/>
  <c r="G21" i="10" s="1"/>
  <c r="H21" i="10" s="1"/>
  <c r="I21" i="10"/>
  <c r="J21" i="10" s="1"/>
  <c r="K21" i="10" s="1"/>
  <c r="J16" i="10"/>
  <c r="K16" i="10" s="1"/>
  <c r="H33" i="10"/>
  <c r="N33" i="10"/>
  <c r="N40" i="10" s="1"/>
  <c r="H34" i="10"/>
  <c r="T33" i="10"/>
  <c r="M19" i="10"/>
  <c r="N19" i="10" s="1"/>
  <c r="J20" i="10"/>
  <c r="K20" i="10" s="1"/>
  <c r="J19" i="10"/>
  <c r="K19" i="10" s="1"/>
  <c r="M14" i="10"/>
  <c r="N14" i="10" s="1"/>
  <c r="M15" i="10"/>
  <c r="N15" i="10" s="1"/>
  <c r="J12" i="10"/>
  <c r="K12" i="10" s="1"/>
  <c r="J17" i="10"/>
  <c r="K17" i="10" s="1"/>
  <c r="M10" i="10"/>
  <c r="N10" i="10" s="1"/>
  <c r="J18" i="10"/>
  <c r="K18" i="10" s="1"/>
  <c r="J13" i="10"/>
  <c r="K13" i="10" s="1"/>
  <c r="M11" i="10"/>
  <c r="N11" i="10" s="1"/>
  <c r="L16" i="10"/>
  <c r="L20" i="10"/>
  <c r="F20" i="10"/>
  <c r="G19" i="10"/>
  <c r="H19" i="10" s="1"/>
  <c r="G16" i="10"/>
  <c r="H16" i="10" s="1"/>
  <c r="G15" i="10"/>
  <c r="H15" i="10" s="1"/>
  <c r="F14" i="10"/>
  <c r="L12" i="10"/>
  <c r="I14" i="10"/>
  <c r="F18" i="10"/>
  <c r="L18" i="10"/>
  <c r="F11" i="10"/>
  <c r="I11" i="10"/>
  <c r="L17" i="10"/>
  <c r="F10" i="10"/>
  <c r="I10" i="10"/>
  <c r="J10" i="10" s="1"/>
  <c r="L13" i="10"/>
  <c r="F12" i="10"/>
  <c r="F13" i="10"/>
  <c r="F17" i="10"/>
  <c r="AX45" i="5"/>
  <c r="AI45" i="5"/>
  <c r="T45" i="5"/>
  <c r="AW18" i="5"/>
  <c r="AV18" i="5"/>
  <c r="AH18" i="5"/>
  <c r="AG18" i="5"/>
  <c r="E18" i="5"/>
  <c r="D18" i="5"/>
  <c r="AH13" i="4"/>
  <c r="AH12" i="4"/>
  <c r="S12" i="4"/>
  <c r="AI17" i="4"/>
  <c r="AH17" i="4"/>
  <c r="T17" i="4"/>
  <c r="S17" i="4"/>
  <c r="E17" i="4"/>
  <c r="D17" i="4"/>
  <c r="AK17" i="1"/>
  <c r="AJ17" i="1"/>
  <c r="V17" i="1"/>
  <c r="U17" i="1"/>
  <c r="E17" i="1"/>
  <c r="D17" i="1"/>
  <c r="AK27" i="1"/>
  <c r="S42" i="5"/>
  <c r="R42" i="5"/>
  <c r="R43" i="5" s="1"/>
  <c r="S40" i="5"/>
  <c r="R40" i="5"/>
  <c r="D40" i="5"/>
  <c r="E42" i="5"/>
  <c r="D42" i="5"/>
  <c r="E40" i="5"/>
  <c r="AH40" i="5"/>
  <c r="AV40" i="5"/>
  <c r="AW42" i="5"/>
  <c r="AW43" i="5" s="1"/>
  <c r="AV42" i="5"/>
  <c r="AV43" i="5" s="1"/>
  <c r="AW40" i="5"/>
  <c r="AH42" i="5"/>
  <c r="AG42" i="5"/>
  <c r="AG40" i="5"/>
  <c r="AW29" i="5"/>
  <c r="AV29" i="5"/>
  <c r="AW28" i="5"/>
  <c r="AW30" i="5" s="1"/>
  <c r="AW31" i="5" s="1"/>
  <c r="AV28" i="5"/>
  <c r="AV30" i="5" s="1"/>
  <c r="AH29" i="5"/>
  <c r="AG29" i="5"/>
  <c r="AH28" i="5"/>
  <c r="AG28" i="5"/>
  <c r="S29" i="5"/>
  <c r="R29" i="5"/>
  <c r="S28" i="5"/>
  <c r="S30" i="5" s="1"/>
  <c r="S31" i="5" s="1"/>
  <c r="R28" i="5"/>
  <c r="E29" i="5"/>
  <c r="D29" i="5"/>
  <c r="E28" i="5"/>
  <c r="D28" i="5"/>
  <c r="AW14" i="5"/>
  <c r="AW13" i="5"/>
  <c r="AV14" i="5"/>
  <c r="AV13" i="5"/>
  <c r="S14" i="5"/>
  <c r="R14" i="5"/>
  <c r="S13" i="5"/>
  <c r="R13" i="5"/>
  <c r="S1" i="5"/>
  <c r="R1" i="5"/>
  <c r="AH14" i="5"/>
  <c r="AG14" i="5"/>
  <c r="AG43" i="5" s="1"/>
  <c r="AH13" i="5"/>
  <c r="AG13" i="5"/>
  <c r="E14" i="5"/>
  <c r="E13" i="5"/>
  <c r="E15" i="5" s="1"/>
  <c r="E16" i="5" s="1"/>
  <c r="E17" i="5" s="1"/>
  <c r="D14" i="5"/>
  <c r="D13" i="5"/>
  <c r="AW1" i="5"/>
  <c r="AV1" i="5"/>
  <c r="AH1" i="5"/>
  <c r="AG1" i="5"/>
  <c r="E1" i="5"/>
  <c r="D1" i="5"/>
  <c r="AI41" i="4"/>
  <c r="AH41" i="4"/>
  <c r="AI39" i="4"/>
  <c r="AH39" i="4"/>
  <c r="T41" i="4"/>
  <c r="S41" i="4"/>
  <c r="T39" i="4"/>
  <c r="S39" i="4"/>
  <c r="D41" i="4"/>
  <c r="D39" i="4"/>
  <c r="AH26" i="4"/>
  <c r="E41" i="4"/>
  <c r="E39" i="4"/>
  <c r="AI26" i="4"/>
  <c r="AH27" i="4"/>
  <c r="AI27" i="4"/>
  <c r="D40" i="1"/>
  <c r="E40" i="1"/>
  <c r="U40" i="1"/>
  <c r="V40" i="1"/>
  <c r="AJ40" i="1"/>
  <c r="AK40" i="1"/>
  <c r="D42" i="1"/>
  <c r="E42" i="1"/>
  <c r="U42" i="1"/>
  <c r="V42" i="1"/>
  <c r="AJ42" i="1"/>
  <c r="AK42" i="1"/>
  <c r="T27" i="4"/>
  <c r="E27" i="4"/>
  <c r="D27" i="4"/>
  <c r="T26" i="4"/>
  <c r="E26" i="4"/>
  <c r="D26" i="4"/>
  <c r="AI13" i="4"/>
  <c r="AI12" i="4"/>
  <c r="T13" i="4"/>
  <c r="S13" i="4"/>
  <c r="S42" i="4" s="1"/>
  <c r="T12" i="4"/>
  <c r="E13" i="4"/>
  <c r="E12" i="4"/>
  <c r="D13" i="4"/>
  <c r="D12" i="4"/>
  <c r="AI1" i="4"/>
  <c r="AH1" i="4"/>
  <c r="T1" i="4"/>
  <c r="S1" i="4"/>
  <c r="E1" i="4"/>
  <c r="D1" i="4"/>
  <c r="AJ27" i="1"/>
  <c r="AK26" i="1"/>
  <c r="AJ26" i="1"/>
  <c r="V27" i="1"/>
  <c r="U27" i="1"/>
  <c r="V26" i="1"/>
  <c r="U26" i="1"/>
  <c r="E26" i="1"/>
  <c r="E27" i="1"/>
  <c r="D27" i="1"/>
  <c r="D26" i="1"/>
  <c r="AK13" i="1"/>
  <c r="AJ13" i="1"/>
  <c r="AK12" i="1"/>
  <c r="AJ12" i="1"/>
  <c r="U13" i="1"/>
  <c r="U12" i="1"/>
  <c r="V13" i="1"/>
  <c r="V12" i="1"/>
  <c r="E13" i="1"/>
  <c r="E12" i="1"/>
  <c r="AK1" i="1"/>
  <c r="V1" i="1"/>
  <c r="E1" i="1"/>
  <c r="AJ1" i="1"/>
  <c r="U1" i="1"/>
  <c r="D1" i="1"/>
  <c r="D12" i="1"/>
  <c r="B20" i="6"/>
  <c r="B19" i="6"/>
  <c r="B18" i="6"/>
  <c r="B17" i="6"/>
  <c r="B16" i="6"/>
  <c r="B15" i="6"/>
  <c r="B14" i="6"/>
  <c r="B13" i="6"/>
  <c r="B12" i="6"/>
  <c r="B11" i="6"/>
  <c r="B10" i="6"/>
  <c r="B3" i="6"/>
  <c r="B4" i="6" s="1"/>
  <c r="P40" i="10" l="1"/>
  <c r="M12" i="10"/>
  <c r="N12" i="10" s="1"/>
  <c r="M17" i="10"/>
  <c r="N17" i="10" s="1"/>
  <c r="U33" i="10"/>
  <c r="T40" i="10"/>
  <c r="V40" i="10" s="1"/>
  <c r="H41" i="10"/>
  <c r="J41" i="10" s="1"/>
  <c r="I34" i="10"/>
  <c r="O33" i="10"/>
  <c r="T35" i="10"/>
  <c r="U35" i="10" s="1"/>
  <c r="T36" i="10"/>
  <c r="H35" i="10"/>
  <c r="N35" i="10"/>
  <c r="H36" i="10"/>
  <c r="N36" i="10"/>
  <c r="M20" i="10"/>
  <c r="N20" i="10" s="1"/>
  <c r="J11" i="10"/>
  <c r="K11" i="10" s="1"/>
  <c r="M18" i="10"/>
  <c r="N18" i="10" s="1"/>
  <c r="I33" i="10"/>
  <c r="H40" i="10"/>
  <c r="J40" i="10" s="1"/>
  <c r="M13" i="10"/>
  <c r="N13" i="10" s="1"/>
  <c r="M16" i="10"/>
  <c r="N16" i="10" s="1"/>
  <c r="J14" i="10"/>
  <c r="K14" i="10" s="1"/>
  <c r="G18" i="10"/>
  <c r="H18" i="10" s="1"/>
  <c r="G17" i="10"/>
  <c r="H17" i="10" s="1"/>
  <c r="G14" i="10"/>
  <c r="H14" i="10" s="1"/>
  <c r="G13" i="10"/>
  <c r="H13" i="10" s="1"/>
  <c r="K10" i="10"/>
  <c r="G10" i="10"/>
  <c r="H10" i="10" s="1"/>
  <c r="G11" i="10"/>
  <c r="H11" i="10" s="1"/>
  <c r="G20" i="10"/>
  <c r="H20" i="10" s="1"/>
  <c r="G12" i="10"/>
  <c r="H12" i="10" s="1"/>
  <c r="C20" i="6"/>
  <c r="D20" i="6" s="1"/>
  <c r="E20" i="6" s="1"/>
  <c r="D41" i="5"/>
  <c r="E41" i="5"/>
  <c r="D43" i="5"/>
  <c r="D44" i="5" s="1"/>
  <c r="D45" i="5" s="1"/>
  <c r="E43" i="5"/>
  <c r="D42" i="4"/>
  <c r="S43" i="5"/>
  <c r="AV41" i="5"/>
  <c r="AH41" i="5"/>
  <c r="AG41" i="5"/>
  <c r="AG44" i="5" s="1"/>
  <c r="AG45" i="5" s="1"/>
  <c r="R41" i="5"/>
  <c r="R44" i="5" s="1"/>
  <c r="R45" i="5" s="1"/>
  <c r="AH43" i="5"/>
  <c r="AH44" i="5" s="1"/>
  <c r="AH45" i="5" s="1"/>
  <c r="S41" i="5"/>
  <c r="S44" i="5" s="1"/>
  <c r="S45" i="5" s="1"/>
  <c r="AH42" i="4"/>
  <c r="D40" i="4"/>
  <c r="AI40" i="4"/>
  <c r="AV44" i="5"/>
  <c r="AV45" i="5" s="1"/>
  <c r="F4" i="6"/>
  <c r="C17" i="6"/>
  <c r="D17" i="6" s="1"/>
  <c r="E17" i="6" s="1"/>
  <c r="I17" i="6" s="1"/>
  <c r="J17" i="6" s="1"/>
  <c r="K17" i="6" s="1"/>
  <c r="T40" i="4"/>
  <c r="D41" i="1"/>
  <c r="S14" i="4"/>
  <c r="AK43" i="1"/>
  <c r="V41" i="1"/>
  <c r="D43" i="1"/>
  <c r="AJ43" i="1"/>
  <c r="T42" i="4"/>
  <c r="AW41" i="5"/>
  <c r="AW44" i="5" s="1"/>
  <c r="AW45" i="5" s="1"/>
  <c r="AH40" i="4"/>
  <c r="AH15" i="5"/>
  <c r="AH16" i="5" s="1"/>
  <c r="AH17" i="5" s="1"/>
  <c r="G4" i="6"/>
  <c r="H4" i="6"/>
  <c r="AI28" i="4"/>
  <c r="AI29" i="4" s="1"/>
  <c r="S40" i="4"/>
  <c r="S43" i="4" s="1"/>
  <c r="S44" i="4" s="1"/>
  <c r="AI42" i="4"/>
  <c r="AI43" i="4" s="1"/>
  <c r="AI44" i="4" s="1"/>
  <c r="R15" i="5"/>
  <c r="R16" i="5" s="1"/>
  <c r="S15" i="5"/>
  <c r="S16" i="5" s="1"/>
  <c r="S17" i="5" s="1"/>
  <c r="AG30" i="5"/>
  <c r="AG31" i="5" s="1"/>
  <c r="E30" i="5"/>
  <c r="E31" i="5" s="1"/>
  <c r="R30" i="5"/>
  <c r="R31" i="5" s="1"/>
  <c r="AG15" i="5"/>
  <c r="AG16" i="5" s="1"/>
  <c r="D30" i="5"/>
  <c r="D31" i="5" s="1"/>
  <c r="AH30" i="5"/>
  <c r="AH31" i="5" s="1"/>
  <c r="AV31" i="5"/>
  <c r="AW15" i="5"/>
  <c r="AW16" i="5" s="1"/>
  <c r="AW17" i="5" s="1"/>
  <c r="AV15" i="5"/>
  <c r="AV16" i="5" s="1"/>
  <c r="R17" i="5"/>
  <c r="D15" i="5"/>
  <c r="E40" i="4"/>
  <c r="AH28" i="4"/>
  <c r="AH29" i="4" s="1"/>
  <c r="E42" i="4"/>
  <c r="E41" i="1"/>
  <c r="AK41" i="1"/>
  <c r="AJ41" i="1"/>
  <c r="V43" i="1"/>
  <c r="V44" i="1" s="1"/>
  <c r="V45" i="1" s="1"/>
  <c r="U41" i="1"/>
  <c r="U43" i="1"/>
  <c r="E43" i="1"/>
  <c r="AJ28" i="1"/>
  <c r="AJ29" i="1" s="1"/>
  <c r="S28" i="4"/>
  <c r="D28" i="4"/>
  <c r="D29" i="4" s="1"/>
  <c r="T14" i="4"/>
  <c r="T15" i="4" s="1"/>
  <c r="T16" i="4" s="1"/>
  <c r="E28" i="4"/>
  <c r="E29" i="4" s="1"/>
  <c r="T28" i="4"/>
  <c r="T29" i="4" s="1"/>
  <c r="AH14" i="4"/>
  <c r="AI14" i="4"/>
  <c r="AI15" i="4" s="1"/>
  <c r="AI16" i="4" s="1"/>
  <c r="D28" i="1"/>
  <c r="D29" i="1" s="1"/>
  <c r="E28" i="1"/>
  <c r="E29" i="1" s="1"/>
  <c r="U28" i="1"/>
  <c r="U29" i="1" s="1"/>
  <c r="S16" i="4"/>
  <c r="S15" i="4"/>
  <c r="E14" i="4"/>
  <c r="E15" i="4" s="1"/>
  <c r="E16" i="4" s="1"/>
  <c r="D14" i="4"/>
  <c r="V28" i="1"/>
  <c r="V29" i="1" s="1"/>
  <c r="AK28" i="1"/>
  <c r="AK29" i="1" s="1"/>
  <c r="D14" i="1"/>
  <c r="D16" i="1" s="1"/>
  <c r="AJ14" i="1"/>
  <c r="E14" i="1"/>
  <c r="E15" i="1" s="1"/>
  <c r="E16" i="1" s="1"/>
  <c r="V14" i="1"/>
  <c r="V15" i="1" s="1"/>
  <c r="V16" i="1" s="1"/>
  <c r="AK14" i="1"/>
  <c r="AK15" i="1" s="1"/>
  <c r="AK16" i="1" s="1"/>
  <c r="I20" i="6"/>
  <c r="J20" i="6" s="1"/>
  <c r="K20" i="6" s="1"/>
  <c r="F20" i="6"/>
  <c r="G20" i="6" s="1"/>
  <c r="H20" i="6" s="1"/>
  <c r="L20" i="6"/>
  <c r="M20" i="6" s="1"/>
  <c r="N20" i="6" s="1"/>
  <c r="C15" i="6"/>
  <c r="D15" i="6" s="1"/>
  <c r="E15" i="6" s="1"/>
  <c r="C11" i="6"/>
  <c r="D11" i="6" s="1"/>
  <c r="E11" i="6" s="1"/>
  <c r="C13" i="6"/>
  <c r="D13" i="6" s="1"/>
  <c r="E13" i="6" s="1"/>
  <c r="C19" i="6"/>
  <c r="D19" i="6" s="1"/>
  <c r="E19" i="6" s="1"/>
  <c r="C10" i="6"/>
  <c r="D10" i="6" s="1"/>
  <c r="E10" i="6" s="1"/>
  <c r="C18" i="6"/>
  <c r="D18" i="6" s="1"/>
  <c r="E18" i="6" s="1"/>
  <c r="C12" i="6"/>
  <c r="D12" i="6" s="1"/>
  <c r="E12" i="6" s="1"/>
  <c r="C14" i="6"/>
  <c r="D14" i="6" s="1"/>
  <c r="E14" i="6" s="1"/>
  <c r="C16" i="6"/>
  <c r="D16" i="6" s="1"/>
  <c r="E16" i="6" s="1"/>
  <c r="B5" i="6"/>
  <c r="C5" i="6" s="1"/>
  <c r="F3" i="6"/>
  <c r="G3" i="6"/>
  <c r="H3" i="6"/>
  <c r="H43" i="10" l="1"/>
  <c r="J43" i="10" s="1"/>
  <c r="I36" i="10"/>
  <c r="U36" i="10"/>
  <c r="T42" i="10"/>
  <c r="V42" i="10" s="1"/>
  <c r="T43" i="10"/>
  <c r="V43" i="10" s="1"/>
  <c r="O35" i="10"/>
  <c r="N42" i="10"/>
  <c r="P42" i="10" s="1"/>
  <c r="O36" i="10"/>
  <c r="N43" i="10"/>
  <c r="P43" i="10" s="1"/>
  <c r="I35" i="10"/>
  <c r="H42" i="10"/>
  <c r="J42" i="10" s="1"/>
  <c r="L17" i="6"/>
  <c r="N34" i="6"/>
  <c r="J36" i="6"/>
  <c r="F17" i="6"/>
  <c r="G17" i="6" s="1"/>
  <c r="H17" i="6" s="1"/>
  <c r="F35" i="6"/>
  <c r="M17" i="6"/>
  <c r="N17" i="6" s="1"/>
  <c r="D43" i="4"/>
  <c r="D44" i="4" s="1"/>
  <c r="E44" i="5"/>
  <c r="E45" i="5" s="1"/>
  <c r="U44" i="4"/>
  <c r="AH15" i="4"/>
  <c r="AH16" i="4"/>
  <c r="AK44" i="1"/>
  <c r="AK45" i="1" s="1"/>
  <c r="S29" i="4"/>
  <c r="F29" i="1"/>
  <c r="AH43" i="4"/>
  <c r="AH44" i="4" s="1"/>
  <c r="T43" i="4"/>
  <c r="T44" i="4" s="1"/>
  <c r="W29" i="1"/>
  <c r="AL29" i="1"/>
  <c r="E43" i="4"/>
  <c r="E44" i="4" s="1"/>
  <c r="D44" i="1"/>
  <c r="D45" i="1" s="1"/>
  <c r="AJ44" i="1"/>
  <c r="AJ45" i="1" s="1"/>
  <c r="AG17" i="5"/>
  <c r="E44" i="1"/>
  <c r="E45" i="1" s="1"/>
  <c r="T31" i="5"/>
  <c r="AV17" i="5"/>
  <c r="D17" i="5"/>
  <c r="D16" i="5"/>
  <c r="F31" i="5" s="1"/>
  <c r="U44" i="1"/>
  <c r="AJ16" i="1"/>
  <c r="D15" i="1"/>
  <c r="D16" i="4"/>
  <c r="AJ15" i="1"/>
  <c r="D15" i="4"/>
  <c r="F44" i="4" s="1"/>
  <c r="I12" i="6"/>
  <c r="J12" i="6" s="1"/>
  <c r="K12" i="6" s="1"/>
  <c r="F12" i="6"/>
  <c r="G12" i="6" s="1"/>
  <c r="H12" i="6" s="1"/>
  <c r="L12" i="6"/>
  <c r="M12" i="6" s="1"/>
  <c r="N12" i="6" s="1"/>
  <c r="I15" i="6"/>
  <c r="J15" i="6" s="1"/>
  <c r="K15" i="6" s="1"/>
  <c r="F15" i="6"/>
  <c r="G15" i="6" s="1"/>
  <c r="H15" i="6" s="1"/>
  <c r="L15" i="6"/>
  <c r="M15" i="6" s="1"/>
  <c r="N15" i="6" s="1"/>
  <c r="L18" i="6"/>
  <c r="M18" i="6" s="1"/>
  <c r="N18" i="6" s="1"/>
  <c r="I18" i="6"/>
  <c r="J18" i="6" s="1"/>
  <c r="K18" i="6" s="1"/>
  <c r="F18" i="6"/>
  <c r="G18" i="6" s="1"/>
  <c r="H18" i="6" s="1"/>
  <c r="L10" i="6"/>
  <c r="M10" i="6" s="1"/>
  <c r="N10" i="6" s="1"/>
  <c r="I10" i="6"/>
  <c r="J10" i="6" s="1"/>
  <c r="K10" i="6" s="1"/>
  <c r="F10" i="6"/>
  <c r="G10" i="6" s="1"/>
  <c r="H10" i="6" s="1"/>
  <c r="F19" i="6"/>
  <c r="G19" i="6" s="1"/>
  <c r="H19" i="6" s="1"/>
  <c r="L19" i="6"/>
  <c r="M19" i="6" s="1"/>
  <c r="N19" i="6" s="1"/>
  <c r="I19" i="6"/>
  <c r="J19" i="6" s="1"/>
  <c r="K19" i="6" s="1"/>
  <c r="F16" i="6"/>
  <c r="G16" i="6" s="1"/>
  <c r="H16" i="6" s="1"/>
  <c r="L16" i="6"/>
  <c r="M16" i="6" s="1"/>
  <c r="N16" i="6" s="1"/>
  <c r="I16" i="6"/>
  <c r="J16" i="6" s="1"/>
  <c r="K16" i="6" s="1"/>
  <c r="L13" i="6"/>
  <c r="M13" i="6" s="1"/>
  <c r="N13" i="6" s="1"/>
  <c r="I13" i="6"/>
  <c r="J13" i="6" s="1"/>
  <c r="K13" i="6" s="1"/>
  <c r="F13" i="6"/>
  <c r="G13" i="6" s="1"/>
  <c r="H13" i="6" s="1"/>
  <c r="F14" i="6"/>
  <c r="G14" i="6" s="1"/>
  <c r="H14" i="6" s="1"/>
  <c r="L14" i="6"/>
  <c r="M14" i="6" s="1"/>
  <c r="N14" i="6" s="1"/>
  <c r="I14" i="6"/>
  <c r="J14" i="6" s="1"/>
  <c r="K14" i="6" s="1"/>
  <c r="F11" i="6"/>
  <c r="G11" i="6" s="1"/>
  <c r="H11" i="6" s="1"/>
  <c r="L11" i="6"/>
  <c r="M11" i="6" s="1"/>
  <c r="N11" i="6" s="1"/>
  <c r="I11" i="6"/>
  <c r="J11" i="6" s="1"/>
  <c r="K11" i="6" s="1"/>
  <c r="L27" i="6" l="1"/>
  <c r="H35" i="6"/>
  <c r="P27" i="6"/>
  <c r="L30" i="6"/>
  <c r="H30" i="6"/>
  <c r="H37" i="6" s="1"/>
  <c r="P30" i="6"/>
  <c r="L29" i="6"/>
  <c r="H36" i="6"/>
  <c r="P29" i="6"/>
  <c r="N37" i="6"/>
  <c r="N36" i="6"/>
  <c r="J37" i="6"/>
  <c r="F36" i="6"/>
  <c r="F37" i="6"/>
  <c r="J34" i="6"/>
  <c r="F34" i="6"/>
  <c r="H34" i="6"/>
  <c r="I29" i="6"/>
  <c r="I30" i="6" l="1"/>
  <c r="L36" i="6"/>
  <c r="M29" i="6"/>
  <c r="P37" i="6"/>
  <c r="Q30" i="6"/>
  <c r="L37" i="6"/>
  <c r="M30" i="6"/>
  <c r="P34" i="6"/>
  <c r="Q27" i="6"/>
  <c r="P36" i="6"/>
  <c r="Q29" i="6"/>
  <c r="L34" i="6"/>
  <c r="M27" i="6"/>
  <c r="I28" i="6"/>
</calcChain>
</file>

<file path=xl/sharedStrings.xml><?xml version="1.0" encoding="utf-8"?>
<sst xmlns="http://schemas.openxmlformats.org/spreadsheetml/2006/main" count="1494" uniqueCount="286">
  <si>
    <t>FileNumber</t>
  </si>
  <si>
    <t>Fragment</t>
  </si>
  <si>
    <t>IsotopeRatio</t>
  </si>
  <si>
    <t>IntegratedIsotopeRatio</t>
  </si>
  <si>
    <t>Average</t>
  </si>
  <si>
    <t>StdDev</t>
  </si>
  <si>
    <t>StdError</t>
  </si>
  <si>
    <t>RelStdError</t>
  </si>
  <si>
    <t>TICVar</t>
  </si>
  <si>
    <t>TIC*ITVar</t>
  </si>
  <si>
    <t>TIC*ITMean</t>
  </si>
  <si>
    <t>SumTotalCounts</t>
  </si>
  <si>
    <t>ShotNoise</t>
  </si>
  <si>
    <t>/Users/sarahzeichner/Documents/Caltech/Research/Fire products/processed data/marri ash/marri ash - 8Da/3 ring/09152022_10pmolStandard_8Da_jumpMethod_02.txt</t>
  </si>
  <si>
    <t>13C/UnSub</t>
  </si>
  <si>
    <t>/Users/sarahzeichner/Documents/Caltech/Research/Fire products/processed data/marri ash/marri ash - 8Da/3 ring/09152022_10pmolStandard_8Da_jumpMethod_03.txt</t>
  </si>
  <si>
    <t>/Users/sarahzeichner/Documents/Caltech/Research/Fire products/processed data/marri ash/marri ash - 8Da/3 ring/09152022_10pmolStandard_8Da_jumpMethod_01.txt</t>
  </si>
  <si>
    <t>/Users/sarahzeichner/Documents/Caltech/Research/Fire products/processed data/marri ash/marri ash - 8Da/3 ring/09152022_marri_ash_low_aros_8Da_jumpMethod_03.txt</t>
  </si>
  <si>
    <t>/Users/sarahzeichner/Documents/Caltech/Research/Fire products/processed data/marri ash/marri ash - 8Da/3 ring/09152022_marri_ash_low_aros_8Da_jumpMethod_02.txt</t>
  </si>
  <si>
    <t>/Users/sarahzeichner/Documents/Caltech/Research/Fire products/processed data/marri ash/marri ash - 8Da/3 ring/09152022_marri_ash_low_aros_8Da_jumpMethod_01.txt</t>
  </si>
  <si>
    <t>2x13C/UnSub</t>
  </si>
  <si>
    <t>PHENANTHRENE</t>
  </si>
  <si>
    <t>8 Da</t>
  </si>
  <si>
    <t>/Users/sarahzeichner/Documents/Caltech/Research/Fire products/processed data/marri ash/marri ash - 8Da/4 ring/09152022_10pmolStandard_8Da_jumpMethod_02.txt</t>
  </si>
  <si>
    <t>/Users/sarahzeichner/Documents/Caltech/Research/Fire products/processed data/marri ash/marri ash - 8Da/4 ring/09152022_10pmolStandard_8Da_jumpMethod_03.txt</t>
  </si>
  <si>
    <t>/Users/sarahzeichner/Documents/Caltech/Research/Fire products/processed data/marri ash/marri ash - 8Da/4 ring/09152022_10pmolStandard_8Da_jumpMethod_01.txt</t>
  </si>
  <si>
    <t>/Users/sarahzeichner/Documents/Caltech/Research/Fire products/processed data/marri ash/marri ash - 8Da/4 ring/09152022_marri_ash_low_aros_8Da_jumpMethod_03.txt</t>
  </si>
  <si>
    <t>/Users/sarahzeichner/Documents/Caltech/Research/Fire products/processed data/marri ash/marri ash - 8Da/4 ring/09152022_marri_ash_low_aros_8Da_jumpMethod_02.txt</t>
  </si>
  <si>
    <t>/Users/sarahzeichner/Documents/Caltech/Research/Fire products/processed data/marri ash/marri ash - 8Da/4 ring/09152022_marri_ash_low_aros_8Da_jumpMethod_01.txt</t>
  </si>
  <si>
    <t>FLUORANTHENE</t>
  </si>
  <si>
    <t>PYRENE</t>
  </si>
  <si>
    <t>2 Da</t>
  </si>
  <si>
    <t>/Users/sarahzeichner/Documents/Caltech/Research/Fire products/processed data/marri ash/marri ash - 2Da/3 ring/09162022_10pmolStandard_2Da_jumpMethod_03.txt</t>
  </si>
  <si>
    <t>/Users/sarahzeichner/Documents/Caltech/Research/Fire products/processed data/marri ash/marri ash - 2Da/3 ring/09162022_10pmolStandard_2Da_jumpMethod_02.txt</t>
  </si>
  <si>
    <t>/Users/sarahzeichner/Documents/Caltech/Research/Fire products/processed data/marri ash/marri ash - 2Da/3 ring/09162022_10pmolStandard_2Da_jumpMethod_01.txt</t>
  </si>
  <si>
    <t>/Users/sarahzeichner/Documents/Caltech/Research/Fire products/processed data/marri ash/marri ash - 2Da/3 ring/09162022_marri_ash_low_aros_2Da_jumpMethod_03.txt</t>
  </si>
  <si>
    <t>/Users/sarahzeichner/Documents/Caltech/Research/Fire products/processed data/marri ash/marri ash - 2Da/3 ring/09162022_marri_ash_low_aros_2Da_jumpMethod_02.txt</t>
  </si>
  <si>
    <t>/Users/sarahzeichner/Documents/Caltech/Research/Fire products/processed data/marri ash/marri ash - 2Da/3 ring/09162022_marri_ash_low_aros_2Da_jumpMethod_01.txt</t>
  </si>
  <si>
    <t>/Users/sarahzeichner/Documents/Caltech/Research/Fire products/processed data/marri ash/marri ash - 2Da/4 ring/09162022_10pmolStandard_2Da_jumpMethod_03.txt</t>
  </si>
  <si>
    <t>/Users/sarahzeichner/Documents/Caltech/Research/Fire products/processed data/marri ash/marri ash - 2Da/4 ring/09162022_10pmolStandard_2Da_jumpMethod_02.txt</t>
  </si>
  <si>
    <t>/Users/sarahzeichner/Documents/Caltech/Research/Fire products/processed data/marri ash/marri ash - 2Da/4 ring/09162022_10pmolStandard_2Da_jumpMethod_01.txt</t>
  </si>
  <si>
    <t>/Users/sarahzeichner/Documents/Caltech/Research/Fire products/processed data/marri ash/marri ash - 2Da/4 ring/09162022_marri_ash_low_aros_2Da_jumpMethod_03.txt</t>
  </si>
  <si>
    <t>/Users/sarahzeichner/Documents/Caltech/Research/Fire products/processed data/marri ash/marri ash - 2Da/4 ring/09162022_marri_ash_low_aros_2Da_jumpMethod_02.txt</t>
  </si>
  <si>
    <t>/Users/sarahzeichner/Documents/Caltech/Research/Fire products/processed data/marri ash/marri ash - 2Da/4 ring/09162022_marri_ash_low_aros_2Da_jumpMethod_01.txt</t>
  </si>
  <si>
    <t>/Users/sarahzeichner/Documents/Caltech/Research/Fire products/processed data/cycads ash/8 Da/3 ring/09172022_10pmolStandard_8Da_01_20220917180206.txt</t>
  </si>
  <si>
    <t>/Users/sarahzeichner/Documents/Caltech/Research/Fire products/processed data/cycads ash/8 Da/3 ring/09172022_cycadsAsh_8Da_jumpMethod_03.txt</t>
  </si>
  <si>
    <t>/Users/sarahzeichner/Documents/Caltech/Research/Fire products/processed data/cycads ash/8 Da/3 ring/09172022_cycadsAsh_8Da_jumpMethod_02.txt</t>
  </si>
  <si>
    <t>/Users/sarahzeichner/Documents/Caltech/Research/Fire products/processed data/cycads ash/8 Da/3 ring/09172022_10pmolStandard_8Da_03.txt</t>
  </si>
  <si>
    <t>/Users/sarahzeichner/Documents/Caltech/Research/Fire products/processed data/cycads ash/8 Da/3 ring/09172022_cycadsAsh_8Da_jumpMethod_01_20220917155341.txt</t>
  </si>
  <si>
    <t>/Users/sarahzeichner/Documents/Caltech/Research/Fire products/processed data/cycads ash/8 Da/3 ring/09172022_10pmolStandard_8Da_02.txt</t>
  </si>
  <si>
    <t>/Users/sarahzeichner/Documents/Caltech/Research/Fire products/processed data/cycads ash/8 Da/4 ring/09172022_10pmolStandard_8Da_01_20220917180206.txt</t>
  </si>
  <si>
    <t>/Users/sarahzeichner/Documents/Caltech/Research/Fire products/processed data/cycads ash/8 Da/4 ring/09172022_cycadsAsh_8Da_jumpMethod_03.txt</t>
  </si>
  <si>
    <t>/Users/sarahzeichner/Documents/Caltech/Research/Fire products/processed data/cycads ash/8 Da/4 ring/09172022_cycadsAsh_8Da_jumpMethod_02.txt</t>
  </si>
  <si>
    <t>/Users/sarahzeichner/Documents/Caltech/Research/Fire products/processed data/cycads ash/8 Da/4 ring/09172022_10pmolStandard_8Da_03.txt</t>
  </si>
  <si>
    <t>/Users/sarahzeichner/Documents/Caltech/Research/Fire products/processed data/cycads ash/8 Da/4 ring/09172022_cycadsAsh_8Da_jumpMethod_01_20220917155341.txt</t>
  </si>
  <si>
    <t>/Users/sarahzeichner/Documents/Caltech/Research/Fire products/processed data/cycads ash/8 Da/4 ring/09172022_10pmolStandard_8Da_02.txt</t>
  </si>
  <si>
    <t>/Users/sarahzeichner/Documents/Caltech/Research/Fire products/processed data/cycads ash/2 Da/3 ring/09172022_cycadsAsh_2Da_jumpMethod_02.txt</t>
  </si>
  <si>
    <t>/Users/sarahzeichner/Documents/Caltech/Research/Fire products/processed data/cycads ash/2 Da/3 ring/09172022_cycadsAsh_2Da_jumpMethod_03.txt</t>
  </si>
  <si>
    <t>/Users/sarahzeichner/Documents/Caltech/Research/Fire products/processed data/cycads ash/2 Da/3 ring/09172022_cycadsAsh_2Da_jumpMethod_01.txt</t>
  </si>
  <si>
    <t>/Users/sarahzeichner/Documents/Caltech/Research/Fire products/processed data/cycads ash/2 Da/3 ring/09172022_10pmolStandard_2Da_03.txt</t>
  </si>
  <si>
    <t>/Users/sarahzeichner/Documents/Caltech/Research/Fire products/processed data/cycads ash/2 Da/3 ring/09172022_10pmolStandard_2Da_02.txt</t>
  </si>
  <si>
    <t>/Users/sarahzeichner/Documents/Caltech/Research/Fire products/processed data/cycads ash/2 Da/3 ring/09172022_10pmolStandard_2Da_01.txt</t>
  </si>
  <si>
    <t>/Users/sarahzeichner/Documents/Caltech/Research/Fire products/processed data/cycads ash/2 Da/4 ring/09172022_cycadsAsh_2Da_jumpMethod_02.txt</t>
  </si>
  <si>
    <t>/Users/sarahzeichner/Documents/Caltech/Research/Fire products/processed data/cycads ash/2 Da/4 ring/09172022_cycadsAsh_2Da_jumpMethod_03.txt</t>
  </si>
  <si>
    <t>/Users/sarahzeichner/Documents/Caltech/Research/Fire products/processed data/cycads ash/2 Da/4 ring/09172022_cycadsAsh_2Da_jumpMethod_01.txt</t>
  </si>
  <si>
    <t>/Users/sarahzeichner/Documents/Caltech/Research/Fire products/processed data/cycads ash/2 Da/4 ring/09172022_10pmolStandard_2Da_03.txt</t>
  </si>
  <si>
    <t>/Users/sarahzeichner/Documents/Caltech/Research/Fire products/processed data/cycads ash/2 Da/4 ring/09172022_10pmolStandard_2Da_02.txt</t>
  </si>
  <si>
    <t>/Users/sarahzeichner/Documents/Caltech/Research/Fire products/processed data/cycads ash/2 Da/4 ring/09172022_10pmolStandard_2Da_01.txt</t>
  </si>
  <si>
    <t>ANTHRACENE</t>
  </si>
  <si>
    <t>Marri ash - 905◦C</t>
  </si>
  <si>
    <t>/Users/sarahzeichner/Documents/Caltech/Research/Fire products/processed data/gingko ash/8 Da/3 ring/09202022_gingkoStandard2_8Da_jumpMethod_04.txt</t>
  </si>
  <si>
    <t>/Users/sarahzeichner/Documents/Caltech/Research/Fire products/processed data/gingko ash/8 Da/3 ring/09202022_gingkoStandard2_8Da_jumpMethod_03.txt</t>
  </si>
  <si>
    <t>/Users/sarahzeichner/Documents/Caltech/Research/Fire products/processed data/gingko ash/8 Da/3 ring/09202022_gingkoStandard2_8Da_jumpMethod_02.txt</t>
  </si>
  <si>
    <t>/Users/sarahzeichner/Documents/Caltech/Research/Fire products/processed data/gingko ash/8 Da/3 ring/09202022_gingkoStandard2_8Da_jumpMethod_01.txt</t>
  </si>
  <si>
    <t>/Users/sarahzeichner/Documents/Caltech/Research/Fire products/processed data/gingko ash/8 Da/3 ring/09202022_gingkoAsh_8Da_jumpMethod_01.txt</t>
  </si>
  <si>
    <t>/Users/sarahzeichner/Documents/Caltech/Research/Fire products/processed data/gingko ash/8 Da/3 ring/09202022_gingkoAsh_8Da_jumpMethod_03.txt</t>
  </si>
  <si>
    <t>/Users/sarahzeichner/Documents/Caltech/Research/Fire products/processed data/gingko ash/8 Da/3 ring/09202022_gingkoAsh_8Da_jumpMethod_02.txt</t>
  </si>
  <si>
    <t>/Users/sarahzeichner/Documents/Caltech/Research/Fire products/processed data/gingko ash/8 Da/4 ring/09202022_gingkoStandard2_8Da_jumpMethod_04.txt</t>
  </si>
  <si>
    <t>/Users/sarahzeichner/Documents/Caltech/Research/Fire products/processed data/gingko ash/8 Da/4 ring/09202022_gingkoStandard2_8Da_jumpMethod_03.txt</t>
  </si>
  <si>
    <t>/Users/sarahzeichner/Documents/Caltech/Research/Fire products/processed data/gingko ash/8 Da/4 ring/09202022_gingkoStandard2_8Da_jumpMethod_02.txt</t>
  </si>
  <si>
    <t>/Users/sarahzeichner/Documents/Caltech/Research/Fire products/processed data/gingko ash/8 Da/4 ring/09202022_gingkoStandard2_8Da_jumpMethod_01.txt</t>
  </si>
  <si>
    <t>/Users/sarahzeichner/Documents/Caltech/Research/Fire products/processed data/gingko ash/8 Da/4 ring/09202022_gingkoAsh_8Da_jumpMethod_01.txt</t>
  </si>
  <si>
    <t>/Users/sarahzeichner/Documents/Caltech/Research/Fire products/processed data/gingko ash/8 Da/4 ring/09202022_gingkoAsh_8Da_jumpMethod_03.txt</t>
  </si>
  <si>
    <t>/Users/sarahzeichner/Documents/Caltech/Research/Fire products/processed data/gingko ash/8 Da/4 ring/09202022_gingkoAsh_8Da_jumpMethod_02.txt</t>
  </si>
  <si>
    <t>Natural abundance</t>
  </si>
  <si>
    <t>fluor, pyrene</t>
  </si>
  <si>
    <t>phenanthrene, anthracene</t>
  </si>
  <si>
    <t>napthalene</t>
  </si>
  <si>
    <t>[13C]</t>
  </si>
  <si>
    <t>number of C</t>
  </si>
  <si>
    <t>[12C]</t>
  </si>
  <si>
    <t>singly sub 13C</t>
  </si>
  <si>
    <t>R [13C/12C] natural</t>
  </si>
  <si>
    <t>doubly sub 13C</t>
  </si>
  <si>
    <t>R [2x13C]</t>
  </si>
  <si>
    <t>Terrestrial fractionation lines</t>
  </si>
  <si>
    <t>delta</t>
  </si>
  <si>
    <t>R (sa/std)</t>
  </si>
  <si>
    <t>R sample (13C/12C)</t>
  </si>
  <si>
    <t>[2x13C] - 16 C</t>
  </si>
  <si>
    <t>R - 16C</t>
  </si>
  <si>
    <t>16C combination</t>
  </si>
  <si>
    <t>[2x13C]  - 14C</t>
  </si>
  <si>
    <t>R - 14C</t>
  </si>
  <si>
    <t>14C combo</t>
  </si>
  <si>
    <t>[2x13C] - 10C</t>
  </si>
  <si>
    <t>R - 10C</t>
  </si>
  <si>
    <t>10C combo</t>
  </si>
  <si>
    <t>d13C vpdb (EA)</t>
  </si>
  <si>
    <t>SE (d13C, from EA)</t>
  </si>
  <si>
    <t>2x13C (Orbitrap)</t>
  </si>
  <si>
    <t>SE (2x13C, Orbitrap)</t>
  </si>
  <si>
    <t>Computed offset from fractionation</t>
  </si>
  <si>
    <t>Corrected value</t>
  </si>
  <si>
    <t>Phenanthrene</t>
  </si>
  <si>
    <t>Anthracene</t>
  </si>
  <si>
    <t>Fluoranthene</t>
  </si>
  <si>
    <t>Pyrene</t>
  </si>
  <si>
    <t>sample</t>
  </si>
  <si>
    <t>standard</t>
  </si>
  <si>
    <t>R (sample/std)</t>
  </si>
  <si>
    <t>delta (sample/std)</t>
  </si>
  <si>
    <t>delta (PDB)</t>
  </si>
  <si>
    <t>mu^ (WEM)</t>
  </si>
  <si>
    <t>s(mu^)</t>
  </si>
  <si>
    <t>sample to base peak</t>
  </si>
  <si>
    <t>standard to base peak</t>
  </si>
  <si>
    <t>delta value)</t>
  </si>
  <si>
    <t>D_2X13C (per mile)</t>
  </si>
  <si>
    <t>Cycads ash - 594◦C</t>
  </si>
  <si>
    <t>d13C PAH (VPDB)</t>
  </si>
  <si>
    <t>species</t>
  </si>
  <si>
    <t>PFT</t>
  </si>
  <si>
    <t>pathway</t>
  </si>
  <si>
    <t>Study</t>
  </si>
  <si>
    <t>Phe</t>
  </si>
  <si>
    <t>Phe stdev</t>
  </si>
  <si>
    <t>Flu</t>
  </si>
  <si>
    <t>Flu stdev</t>
  </si>
  <si>
    <t>Pyr</t>
  </si>
  <si>
    <t>Pyr stdev</t>
  </si>
  <si>
    <t>BaA</t>
  </si>
  <si>
    <t>BaA stdev</t>
  </si>
  <si>
    <t>Chry</t>
  </si>
  <si>
    <t>Chry stdev</t>
  </si>
  <si>
    <t>Cork oak twigs 1</t>
  </si>
  <si>
    <t>Woody Angiosperm</t>
  </si>
  <si>
    <t>C3</t>
  </si>
  <si>
    <t>Gullion et al. 2013</t>
  </si>
  <si>
    <t>Cork oak twigs 2</t>
  </si>
  <si>
    <t>Juniper</t>
  </si>
  <si>
    <t>Woody Gymnosperm</t>
  </si>
  <si>
    <t>NA</t>
  </si>
  <si>
    <t>Rosemary</t>
  </si>
  <si>
    <t>Non-woody</t>
  </si>
  <si>
    <t>Alep Pine 1</t>
  </si>
  <si>
    <t>Alep Pine 2</t>
  </si>
  <si>
    <t>Heather 1</t>
  </si>
  <si>
    <t>Heather 2</t>
  </si>
  <si>
    <t>Green oak</t>
  </si>
  <si>
    <t>kermes oak</t>
  </si>
  <si>
    <t>cork oak</t>
  </si>
  <si>
    <t>Cypress 1</t>
  </si>
  <si>
    <t>Cypress 2</t>
  </si>
  <si>
    <t>Mediterranean False Brome</t>
  </si>
  <si>
    <t>Grass</t>
  </si>
  <si>
    <t>Marri</t>
  </si>
  <si>
    <t>This Study</t>
  </si>
  <si>
    <t>Cycad</t>
  </si>
  <si>
    <t>Pilbara Low</t>
  </si>
  <si>
    <t>C4</t>
  </si>
  <si>
    <t>Ginkgo</t>
  </si>
  <si>
    <t>Pilbara High</t>
  </si>
  <si>
    <t>Spinifex Low</t>
  </si>
  <si>
    <t>Karri</t>
  </si>
  <si>
    <t>Oats</t>
  </si>
  <si>
    <t>Eragrostis rigidior</t>
  </si>
  <si>
    <t>O'Malley et al. 1997</t>
  </si>
  <si>
    <t>Panicum maximum</t>
  </si>
  <si>
    <t>Eragrostis pallens</t>
  </si>
  <si>
    <t>Panicum schinzeii</t>
  </si>
  <si>
    <t>Sporobolis spp.</t>
  </si>
  <si>
    <t>Bermuda spp.</t>
  </si>
  <si>
    <t>Composite grass</t>
  </si>
  <si>
    <t>Quercus nigra</t>
  </si>
  <si>
    <t>PAH concentrations</t>
  </si>
  <si>
    <t>Sample name</t>
  </si>
  <si>
    <t>Units</t>
  </si>
  <si>
    <t>anthracene</t>
  </si>
  <si>
    <t>retene</t>
  </si>
  <si>
    <t>benz[a]anthracene</t>
  </si>
  <si>
    <t>chrysene</t>
  </si>
  <si>
    <t>Benzo[b+k]fluoranthenes</t>
  </si>
  <si>
    <t>Benzo[e]pyrene</t>
  </si>
  <si>
    <t>Benzo[a]pyrene</t>
  </si>
  <si>
    <t>Indeno[1,2,3-cd]pyrene (IP)</t>
  </si>
  <si>
    <t>benzo[g,h,i]perylene</t>
  </si>
  <si>
    <t>Apache pine</t>
  </si>
  <si>
    <t>ng/g material burned</t>
  </si>
  <si>
    <t>California redwood</t>
  </si>
  <si>
    <t>Douglas fir</t>
  </si>
  <si>
    <t>Eastern White pine</t>
  </si>
  <si>
    <t>Lodgepole pine</t>
  </si>
  <si>
    <t>Montezuma pine</t>
  </si>
  <si>
    <t>Mountain hemlock</t>
  </si>
  <si>
    <t>Noble fir</t>
  </si>
  <si>
    <t>Pacific Silver fir</t>
  </si>
  <si>
    <t>Ponderosa pine</t>
  </si>
  <si>
    <t>Port Orford cedar</t>
  </si>
  <si>
    <t>Sitka spruce</t>
  </si>
  <si>
    <t>Western White pine</t>
  </si>
  <si>
    <t>Dwarf Birch</t>
  </si>
  <si>
    <t>Eucalyptus</t>
  </si>
  <si>
    <t>Oregon Maple</t>
  </si>
  <si>
    <t>Red Alder</t>
  </si>
  <si>
    <t>Silver Birch</t>
  </si>
  <si>
    <t>Mixed ryegrass</t>
  </si>
  <si>
    <t>Pampas grass</t>
  </si>
  <si>
    <t>Bamboo</t>
  </si>
  <si>
    <t>Sugarcane</t>
  </si>
  <si>
    <t xml:space="preserve">Gingko Ash </t>
  </si>
  <si>
    <t>ng/g material extracted</t>
  </si>
  <si>
    <t>Pilbara Ash Low</t>
  </si>
  <si>
    <t>Pilbara Ash High</t>
  </si>
  <si>
    <t>Cycad Ash</t>
  </si>
  <si>
    <t>Karri Ash II</t>
  </si>
  <si>
    <t xml:space="preserve">Oats Ash </t>
  </si>
  <si>
    <t>Karri Ash</t>
  </si>
  <si>
    <t xml:space="preserve">Marri Ash </t>
  </si>
  <si>
    <t>Spinifex Ash Low</t>
  </si>
  <si>
    <t>DW charcoal</t>
  </si>
  <si>
    <t>DW biochar 1</t>
  </si>
  <si>
    <t>DW biochar 2</t>
  </si>
  <si>
    <t>DW biochar 3</t>
  </si>
  <si>
    <t>Grass 100</t>
  </si>
  <si>
    <t>Grass 200</t>
  </si>
  <si>
    <t>Grass 300</t>
  </si>
  <si>
    <t>Grass 400</t>
  </si>
  <si>
    <t>Grass 500</t>
  </si>
  <si>
    <t>Grass 600</t>
  </si>
  <si>
    <t>Grass 700</t>
  </si>
  <si>
    <t>Wood 100</t>
  </si>
  <si>
    <t>Wood 200</t>
  </si>
  <si>
    <t>Wood 300</t>
  </si>
  <si>
    <t>Wood 400</t>
  </si>
  <si>
    <t>Wood 500</t>
  </si>
  <si>
    <t>Wood 600</t>
  </si>
  <si>
    <t>Wood 700</t>
  </si>
  <si>
    <t>Maize 300</t>
  </si>
  <si>
    <t>Maize 400</t>
  </si>
  <si>
    <t>Maize 500</t>
  </si>
  <si>
    <t>Rye 300</t>
  </si>
  <si>
    <t>Rye 400</t>
  </si>
  <si>
    <t>Rye 500</t>
  </si>
  <si>
    <t>Gingko ash -142◦C</t>
  </si>
  <si>
    <t>/Users/sarahzeichner/Documents/Caltech/Research/Fire products/processed data/gingko ash/2 Da/4 ring/09202022_gingkoStandard2_2Da_jumpMethod_02.txt</t>
  </si>
  <si>
    <t>/Users/sarahzeichner/Documents/Caltech/Research/Fire products/processed data/gingko ash/2 Da/4 ring/09202022_gingkoStandard2_2Da_jumpMethod_01.txt</t>
  </si>
  <si>
    <t>/Users/sarahzeichner/Documents/Caltech/Research/Fire products/processed data/gingko ash/2 Da/4 ring/09202022_gingkoAsh_2Da_jumpMethod_01.txt</t>
  </si>
  <si>
    <t>/Users/sarahzeichner/Documents/Caltech/Research/Fire products/processed data/gingko ash/2 Da/4 ring/09202022_gingkoAsh_2Da_jumpMethod_02.txt</t>
  </si>
  <si>
    <t>/Users/sarahzeichner/Documents/Caltech/Research/Fire products/processed data/gingko ash/2 Da/4 ring/09202022_gingkoStandard2_2Da_jumpMethod_03_20220921102625.txt</t>
  </si>
  <si>
    <t>/Users/sarahzeichner/Documents/Caltech/Research/Fire products/processed data/gingko ash/2 Da/3 ring/09202022_gingkoStandard2_2Da_jumpMethod_02.txt</t>
  </si>
  <si>
    <t>/Users/sarahzeichner/Documents/Caltech/Research/Fire products/processed data/gingko ash/2 Da/3 ring/09202022_gingkoStandard2_2Da_jumpMethod_01.txt</t>
  </si>
  <si>
    <t>/Users/sarahzeichner/Documents/Caltech/Research/Fire products/processed data/gingko ash/2 Da/3 ring/09202022_gingkoAsh_2Da_jumpMethod_01.txt</t>
  </si>
  <si>
    <t>/Users/sarahzeichner/Documents/Caltech/Research/Fire products/processed data/gingko ash/2 Da/3 ring/09202022_gingkoAsh_2Da_jumpMethod_02.txt</t>
  </si>
  <si>
    <t>/Users/sarahzeichner/Documents/Caltech/Research/Fire products/processed data/gingko ash/2 Da/3 ring/09202022_gingkoStandard2_2Da_jumpMethod_03_20220921102625.txt</t>
  </si>
  <si>
    <t>csia d13C</t>
  </si>
  <si>
    <t>n/a</t>
  </si>
  <si>
    <t>d13C</t>
  </si>
  <si>
    <t>s</t>
  </si>
  <si>
    <t>D2x13C</t>
  </si>
  <si>
    <t>-</t>
  </si>
  <si>
    <t xml:space="preserve">gingko </t>
  </si>
  <si>
    <t>cycads</t>
  </si>
  <si>
    <t>marri</t>
  </si>
  <si>
    <t>STANDARD</t>
  </si>
  <si>
    <t>SAMPLE</t>
  </si>
  <si>
    <t xml:space="preserve">Pyrene </t>
  </si>
  <si>
    <t>2x13C</t>
  </si>
  <si>
    <t>2x13C corrected</t>
  </si>
  <si>
    <t>HB2 standard 2x13C val</t>
  </si>
  <si>
    <t>HB2 standard SE</t>
  </si>
  <si>
    <t>Computed offset from absolute value</t>
  </si>
  <si>
    <t>D2x13C_approx</t>
  </si>
  <si>
    <t>D2x13C_exact</t>
  </si>
  <si>
    <t>scaling value to HB data</t>
  </si>
  <si>
    <t>2x13C corrected to HB2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</si>
</sst>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1"/>
      <name val="Calibri (Body)"/>
    </font>
    <font>
      <b/>
      <sz val="18"/>
      <color rgb="FF000000"/>
      <name val="Helvetica Neue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 (Body)"/>
    </font>
    <font>
      <b/>
      <sz val="16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b/>
      <sz val="12"/>
      <color rgb="FF4472C4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i/>
      <sz val="12"/>
      <color theme="1"/>
      <name val="Helvetica"/>
      <family val="2"/>
    </font>
    <font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8F1"/>
        <bgColor indexed="64"/>
      </patternFill>
    </fill>
    <fill>
      <patternFill patternType="solid">
        <fgColor rgb="FFD49C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1" fontId="3" fillId="0" borderId="0" xfId="0" applyNumberFormat="1" applyFont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0" fontId="11" fillId="4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1" fillId="0" borderId="0" xfId="0" applyFont="1" applyAlignment="1">
      <alignment horizontal="center" wrapText="1"/>
    </xf>
    <xf numFmtId="0" fontId="11" fillId="3" borderId="0" xfId="0" applyFont="1" applyFill="1" applyAlignment="1">
      <alignment horizontal="center" wrapText="1"/>
    </xf>
    <xf numFmtId="0" fontId="11" fillId="3" borderId="0" xfId="0" applyFont="1" applyFill="1" applyAlignment="1">
      <alignment horizontal="left" wrapText="1"/>
    </xf>
    <xf numFmtId="0" fontId="2" fillId="4" borderId="0" xfId="0" applyFont="1" applyFill="1" applyAlignment="1">
      <alignment horizontal="center" wrapText="1"/>
    </xf>
    <xf numFmtId="0" fontId="11" fillId="5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0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0" fillId="4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2" fillId="2" borderId="0" xfId="0" applyFont="1" applyFill="1"/>
    <xf numFmtId="0" fontId="13" fillId="0" borderId="0" xfId="0" applyFont="1"/>
    <xf numFmtId="0" fontId="3" fillId="6" borderId="0" xfId="0" applyFont="1" applyFill="1"/>
    <xf numFmtId="0" fontId="2" fillId="6" borderId="0" xfId="0" applyFont="1" applyFill="1"/>
    <xf numFmtId="0" fontId="4" fillId="6" borderId="0" xfId="0" applyFont="1" applyFill="1"/>
    <xf numFmtId="0" fontId="0" fillId="6" borderId="0" xfId="0" applyFill="1"/>
    <xf numFmtId="0" fontId="3" fillId="7" borderId="0" xfId="0" applyFont="1" applyFill="1"/>
    <xf numFmtId="0" fontId="2" fillId="7" borderId="0" xfId="0" applyFont="1" applyFill="1"/>
    <xf numFmtId="0" fontId="4" fillId="7" borderId="0" xfId="0" applyFont="1" applyFill="1"/>
    <xf numFmtId="0" fontId="0" fillId="7" borderId="0" xfId="0" applyFill="1"/>
    <xf numFmtId="2" fontId="2" fillId="2" borderId="0" xfId="0" applyNumberFormat="1" applyFont="1" applyFill="1"/>
    <xf numFmtId="0" fontId="0" fillId="2" borderId="0" xfId="0" applyFill="1"/>
    <xf numFmtId="0" fontId="0" fillId="8" borderId="0" xfId="0" applyFill="1"/>
    <xf numFmtId="0" fontId="14" fillId="0" borderId="0" xfId="0" applyFont="1"/>
    <xf numFmtId="0" fontId="15" fillId="0" borderId="0" xfId="0" applyFont="1"/>
    <xf numFmtId="0" fontId="16" fillId="0" borderId="4" xfId="0" applyFont="1" applyBorder="1" applyAlignment="1">
      <alignment textRotation="90"/>
    </xf>
    <xf numFmtId="0" fontId="16" fillId="0" borderId="1" xfId="0" applyFont="1" applyBorder="1" applyAlignment="1">
      <alignment textRotation="90"/>
    </xf>
    <xf numFmtId="0" fontId="16" fillId="0" borderId="2" xfId="0" applyFont="1" applyBorder="1" applyAlignment="1">
      <alignment textRotation="90"/>
    </xf>
    <xf numFmtId="0" fontId="16" fillId="0" borderId="3" xfId="0" applyFont="1" applyBorder="1" applyAlignment="1">
      <alignment textRotation="90"/>
    </xf>
    <xf numFmtId="0" fontId="16" fillId="0" borderId="4" xfId="0" applyFont="1" applyBorder="1"/>
    <xf numFmtId="0" fontId="16" fillId="3" borderId="4" xfId="0" applyFont="1" applyFill="1" applyBorder="1"/>
    <xf numFmtId="164" fontId="16" fillId="3" borderId="4" xfId="0" applyNumberFormat="1" applyFont="1" applyFill="1" applyBorder="1"/>
    <xf numFmtId="164" fontId="16" fillId="0" borderId="4" xfId="0" applyNumberFormat="1" applyFont="1" applyBorder="1"/>
    <xf numFmtId="0" fontId="17" fillId="0" borderId="0" xfId="0" applyFont="1"/>
    <xf numFmtId="0" fontId="17" fillId="0" borderId="4" xfId="0" applyFont="1" applyBorder="1" applyAlignment="1">
      <alignment textRotation="90"/>
    </xf>
    <xf numFmtId="0" fontId="17" fillId="0" borderId="3" xfId="0" applyFont="1" applyBorder="1" applyAlignment="1">
      <alignment textRotation="90"/>
    </xf>
    <xf numFmtId="0" fontId="17" fillId="0" borderId="5" xfId="0" applyFont="1" applyBorder="1" applyAlignment="1">
      <alignment textRotation="90"/>
    </xf>
    <xf numFmtId="0" fontId="17" fillId="0" borderId="6" xfId="0" applyFont="1" applyBorder="1" applyAlignment="1">
      <alignment textRotation="90"/>
    </xf>
    <xf numFmtId="0" fontId="17" fillId="0" borderId="7" xfId="0" applyFont="1" applyBorder="1"/>
    <xf numFmtId="0" fontId="17" fillId="0" borderId="6" xfId="0" applyFont="1" applyBorder="1"/>
    <xf numFmtId="0" fontId="2" fillId="0" borderId="0" xfId="0" applyFont="1"/>
    <xf numFmtId="0" fontId="18" fillId="0" borderId="0" xfId="0" applyFont="1"/>
    <xf numFmtId="0" fontId="4" fillId="5" borderId="0" xfId="0" applyFont="1" applyFill="1"/>
    <xf numFmtId="0" fontId="0" fillId="5" borderId="0" xfId="0" applyFill="1"/>
    <xf numFmtId="0" fontId="4" fillId="9" borderId="0" xfId="0" applyFont="1" applyFill="1"/>
    <xf numFmtId="0" fontId="10" fillId="9" borderId="0" xfId="0" applyFont="1" applyFill="1"/>
    <xf numFmtId="2" fontId="2" fillId="0" borderId="0" xfId="0" applyNumberFormat="1" applyFont="1"/>
    <xf numFmtId="0" fontId="20" fillId="0" borderId="2" xfId="0" applyFont="1" applyBorder="1" applyAlignment="1">
      <alignment horizontal="center"/>
    </xf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13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164" fontId="21" fillId="0" borderId="0" xfId="0" applyNumberFormat="1" applyFont="1" applyAlignment="1">
      <alignment horizontal="center"/>
    </xf>
    <xf numFmtId="164" fontId="21" fillId="0" borderId="2" xfId="0" applyNumberFormat="1" applyFont="1" applyBorder="1" applyAlignment="1">
      <alignment horizontal="center"/>
    </xf>
    <xf numFmtId="164" fontId="20" fillId="0" borderId="2" xfId="0" applyNumberFormat="1" applyFont="1" applyBorder="1" applyAlignment="1">
      <alignment horizontal="center"/>
    </xf>
    <xf numFmtId="164" fontId="21" fillId="0" borderId="3" xfId="0" applyNumberFormat="1" applyFont="1" applyBorder="1" applyAlignment="1">
      <alignment horizontal="center"/>
    </xf>
    <xf numFmtId="0" fontId="11" fillId="10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11" fillId="10" borderId="0" xfId="0" applyFont="1" applyFill="1" applyAlignment="1">
      <alignment horizontal="left" wrapText="1"/>
    </xf>
    <xf numFmtId="0" fontId="0" fillId="10" borderId="0" xfId="0" applyFill="1" applyAlignment="1">
      <alignment horizontal="center"/>
    </xf>
    <xf numFmtId="0" fontId="10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1" fillId="11" borderId="0" xfId="0" applyFont="1" applyFill="1" applyAlignment="1">
      <alignment horizontal="left" wrapText="1"/>
    </xf>
    <xf numFmtId="0" fontId="10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11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11" fillId="7" borderId="0" xfId="0" applyFont="1" applyFill="1" applyAlignment="1">
      <alignment horizontal="left" wrapText="1"/>
    </xf>
    <xf numFmtId="0" fontId="10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horizontal="center"/>
    </xf>
    <xf numFmtId="0" fontId="0" fillId="10" borderId="0" xfId="0" applyFill="1" applyAlignment="1">
      <alignment horizontal="center" wrapText="1"/>
    </xf>
    <xf numFmtId="0" fontId="0" fillId="11" borderId="0" xfId="0" applyFill="1" applyAlignment="1">
      <alignment horizontal="center" wrapText="1"/>
    </xf>
    <xf numFmtId="0" fontId="10" fillId="11" borderId="0" xfId="0" applyFont="1" applyFill="1" applyAlignment="1">
      <alignment horizontal="center" wrapText="1"/>
    </xf>
    <xf numFmtId="0" fontId="10" fillId="7" borderId="0" xfId="0" applyFont="1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22" fillId="0" borderId="0" xfId="0" applyFont="1" applyAlignment="1">
      <alignment horizontal="center"/>
    </xf>
    <xf numFmtId="0" fontId="11" fillId="10" borderId="0" xfId="0" applyFont="1" applyFill="1" applyAlignment="1">
      <alignment horizontal="center" wrapText="1"/>
    </xf>
    <xf numFmtId="0" fontId="11" fillId="7" borderId="0" xfId="0" applyFont="1" applyFill="1" applyAlignment="1">
      <alignment horizontal="center" wrapText="1"/>
    </xf>
    <xf numFmtId="0" fontId="11" fillId="11" borderId="0" xfId="0" applyFont="1" applyFill="1" applyAlignment="1">
      <alignment horizontal="center" wrapText="1"/>
    </xf>
    <xf numFmtId="0" fontId="2" fillId="10" borderId="0" xfId="0" applyFont="1" applyFill="1" applyAlignment="1">
      <alignment horizontal="center" wrapText="1"/>
    </xf>
    <xf numFmtId="0" fontId="2" fillId="11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19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11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10" xfId="0" applyFont="1" applyBorder="1" applyAlignment="1">
      <alignment horizontal="center" vertical="center" textRotation="90"/>
    </xf>
    <xf numFmtId="0" fontId="17" fillId="0" borderId="8" xfId="0" applyFont="1" applyBorder="1" applyAlignment="1">
      <alignment horizontal="center" vertical="center" textRotation="90"/>
    </xf>
    <xf numFmtId="0" fontId="17" fillId="0" borderId="7" xfId="0" applyFont="1" applyBorder="1" applyAlignment="1">
      <alignment horizontal="center" vertical="center" textRotation="90"/>
    </xf>
    <xf numFmtId="0" fontId="17" fillId="0" borderId="9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49CFF"/>
      <color rgb="FFFFC8F1"/>
      <color rgb="FFFF61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fluoranthene and pyrene</a:t>
            </a:r>
          </a:p>
        </c:rich>
      </c:tx>
      <c:layout>
        <c:manualLayout>
          <c:xMode val="edge"/>
          <c:yMode val="edge"/>
          <c:x val="0.317662529637327"/>
          <c:y val="2.9288702928870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040868913550079E-2"/>
          <c:y val="6.2843162461835134E-2"/>
          <c:w val="0.85254193132921585"/>
          <c:h val="0.87823147629558862"/>
        </c:manualLayout>
      </c:layout>
      <c:scatterChart>
        <c:scatterStyle val="lineMarker"/>
        <c:varyColors val="0"/>
        <c:ser>
          <c:idx val="0"/>
          <c:order val="0"/>
          <c:tx>
            <c:v>HB2 pyrene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2F0-ED4D-969B-FC4277AF2F9F}"/>
              </c:ext>
            </c:extLst>
          </c:dPt>
          <c:xVal>
            <c:numRef>
              <c:f>'[1]collated data - 2x13C plots'!$D$38</c:f>
              <c:numCache>
                <c:formatCode>General</c:formatCode>
                <c:ptCount val="1"/>
                <c:pt idx="0">
                  <c:v>-23.633026104479924</c:v>
                </c:pt>
              </c:numCache>
            </c:numRef>
          </c:xVal>
          <c:yVal>
            <c:numRef>
              <c:f>'[1]collated data - 2x13C plots'!$H$38</c:f>
              <c:numCache>
                <c:formatCode>General</c:formatCode>
                <c:ptCount val="1"/>
                <c:pt idx="0">
                  <c:v>1.2785175667701274E-2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0-ED4D-969B-FC4277AF2F9F}"/>
            </c:ext>
          </c:extLst>
        </c:ser>
        <c:ser>
          <c:idx val="2"/>
          <c:order val="1"/>
          <c:tx>
            <c:v>HB2 fluoranthene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'[1]collated data - 2x13C plots'!$D$37</c:f>
              <c:numCache>
                <c:formatCode>General</c:formatCode>
                <c:ptCount val="1"/>
                <c:pt idx="0">
                  <c:v>-17.106026968804812</c:v>
                </c:pt>
              </c:numCache>
            </c:numRef>
          </c:xVal>
          <c:yVal>
            <c:numRef>
              <c:f>'[1]collated data - 2x13C plots'!$H$37</c:f>
              <c:numCache>
                <c:formatCode>General</c:formatCode>
                <c:ptCount val="1"/>
                <c:pt idx="0">
                  <c:v>1.2851022838155073E-2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F0-ED4D-969B-FC4277AF2F9F}"/>
            </c:ext>
          </c:extLst>
        </c:ser>
        <c:ser>
          <c:idx val="3"/>
          <c:order val="2"/>
          <c:tx>
            <c:v>Terrestrial fluoranthene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'[1]collated data - 2x13C plots'!$B$29</c:f>
              <c:numCache>
                <c:formatCode>General</c:formatCode>
                <c:ptCount val="1"/>
                <c:pt idx="0">
                  <c:v>-24.2</c:v>
                </c:pt>
              </c:numCache>
            </c:numRef>
          </c:xVal>
          <c:yVal>
            <c:numRef>
              <c:f>'[1]collated data - 2x13C plots'!$G$29</c:f>
              <c:numCache>
                <c:formatCode>General</c:formatCode>
                <c:ptCount val="1"/>
                <c:pt idx="0">
                  <c:v>1.2484496970401127E-2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F0-ED4D-969B-FC4277AF2F9F}"/>
            </c:ext>
          </c:extLst>
        </c:ser>
        <c:ser>
          <c:idx val="4"/>
          <c:order val="3"/>
          <c:tx>
            <c:v>Terrestrial fractionation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'[1]collated data - 2x13C plots'!$A$10:$A$20</c:f>
              <c:numCache>
                <c:formatCode>General</c:formatCode>
                <c:ptCount val="11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-24</c:v>
                </c:pt>
                <c:pt idx="6">
                  <c:v>-25</c:v>
                </c:pt>
                <c:pt idx="7">
                  <c:v>-25.2</c:v>
                </c:pt>
                <c:pt idx="8">
                  <c:v>-30</c:v>
                </c:pt>
                <c:pt idx="9">
                  <c:v>-3.92</c:v>
                </c:pt>
                <c:pt idx="10">
                  <c:v>-11.81</c:v>
                </c:pt>
              </c:numCache>
            </c:numRef>
          </c:xVal>
          <c:yVal>
            <c:numRef>
              <c:f>'[1]collated data - 2x13C plots'!$H$10:$H$20</c:f>
              <c:numCache>
                <c:formatCode>General</c:formatCode>
                <c:ptCount val="11"/>
                <c:pt idx="0">
                  <c:v>1.3082628526600283E-2</c:v>
                </c:pt>
                <c:pt idx="1">
                  <c:v>1.2963050140246032E-2</c:v>
                </c:pt>
                <c:pt idx="2">
                  <c:v>1.2843916646688725E-2</c:v>
                </c:pt>
                <c:pt idx="3">
                  <c:v>1.2725229415833443E-2</c:v>
                </c:pt>
                <c:pt idx="4">
                  <c:v>1.2606989820198332E-2</c:v>
                </c:pt>
                <c:pt idx="5">
                  <c:v>1.2512721365051733E-2</c:v>
                </c:pt>
                <c:pt idx="6">
                  <c:v>1.2489199234918811E-2</c:v>
                </c:pt>
                <c:pt idx="7">
                  <c:v>1.2484496970401127E-2</c:v>
                </c:pt>
                <c:pt idx="8">
                  <c:v>1.237185903775195E-2</c:v>
                </c:pt>
                <c:pt idx="9">
                  <c:v>1.2988841448701686E-2</c:v>
                </c:pt>
                <c:pt idx="10">
                  <c:v>1.2800900263693923E-2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F0-ED4D-969B-FC4277AF2F9F}"/>
            </c:ext>
          </c:extLst>
        </c:ser>
        <c:ser>
          <c:idx val="1"/>
          <c:order val="4"/>
          <c:tx>
            <c:v>Terrestrial pyrene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'[1]collated data - 2x13C plots'!$B$30</c:f>
              <c:numCache>
                <c:formatCode>General</c:formatCode>
                <c:ptCount val="1"/>
                <c:pt idx="0">
                  <c:v>-25.2</c:v>
                </c:pt>
              </c:numCache>
            </c:numRef>
          </c:xVal>
          <c:yVal>
            <c:numRef>
              <c:f>'[1]collated data - 2x13C plots'!$G$30</c:f>
              <c:numCache>
                <c:formatCode>General</c:formatCode>
                <c:ptCount val="1"/>
                <c:pt idx="0">
                  <c:v>1.2484496970401127E-2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F0-ED4D-969B-FC4277AF2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58399"/>
        <c:axId val="1883900063"/>
      </c:scatterChart>
      <c:valAx>
        <c:axId val="183415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0.47946945525861312"/>
              <c:y val="0.898847560372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900063"/>
        <c:crossesAt val="1.1800000000000003E-2"/>
        <c:crossBetween val="midCat"/>
        <c:majorUnit val="5"/>
      </c:valAx>
      <c:valAx>
        <c:axId val="18839000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13C212C14/12C16</a:t>
                </a:r>
              </a:p>
            </c:rich>
          </c:tx>
          <c:layout>
            <c:manualLayout>
              <c:xMode val="edge"/>
              <c:yMode val="edge"/>
              <c:x val="0.18155956562361342"/>
              <c:y val="0.29406372654964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58399"/>
        <c:crossesAt val="-3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63235850896734391"/>
          <c:y val="0.57274112164550861"/>
          <c:w val="0.35717950149848288"/>
          <c:h val="0.3209327680193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phenanthrene and anthrace</a:t>
            </a:r>
            <a:r>
              <a:rPr lang="en-US" baseline="0"/>
              <a:t>ne</a:t>
            </a:r>
          </a:p>
        </c:rich>
      </c:tx>
      <c:layout>
        <c:manualLayout>
          <c:xMode val="edge"/>
          <c:yMode val="edge"/>
          <c:x val="0.23214366021386942"/>
          <c:y val="2.0907376579923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23802440751821E-2"/>
          <c:y val="6.2843227672362445E-2"/>
          <c:w val="0.85254193132921585"/>
          <c:h val="0.87823147629558862"/>
        </c:manualLayout>
      </c:layout>
      <c:scatterChart>
        <c:scatterStyle val="lineMarker"/>
        <c:varyColors val="0"/>
        <c:ser>
          <c:idx val="0"/>
          <c:order val="0"/>
          <c:tx>
            <c:v>HB2 phenanthrene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'[1]collated data - 2x13C plots'!$D$35</c:f>
              <c:numCache>
                <c:formatCode>General</c:formatCode>
                <c:ptCount val="1"/>
                <c:pt idx="0">
                  <c:v>-12.644453810510715</c:v>
                </c:pt>
              </c:numCache>
            </c:numRef>
          </c:xVal>
          <c:yVal>
            <c:numRef>
              <c:f>'[1]collated data - 2x13C plots'!$H$35</c:f>
              <c:numCache>
                <c:formatCode>General</c:formatCode>
                <c:ptCount val="1"/>
                <c:pt idx="0">
                  <c:v>9.9474919763632881E-3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6-3E40-9220-63921BC79817}"/>
            </c:ext>
          </c:extLst>
        </c:ser>
        <c:ser>
          <c:idx val="2"/>
          <c:order val="1"/>
          <c:tx>
            <c:v>HB2 anthracene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'[1]collated data - 2x13C plots'!$D$36</c:f>
              <c:numCache>
                <c:formatCode>General</c:formatCode>
                <c:ptCount val="1"/>
                <c:pt idx="0">
                  <c:v>-16.713071237317468</c:v>
                </c:pt>
              </c:numCache>
            </c:numRef>
          </c:xVal>
          <c:yVal>
            <c:numRef>
              <c:f>'[1]collated data - 2x13C plots'!$H$36</c:f>
              <c:numCache>
                <c:formatCode>General</c:formatCode>
                <c:ptCount val="1"/>
                <c:pt idx="0">
                  <c:v>9.8029124096156682E-3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6-3E40-9220-63921BC79817}"/>
            </c:ext>
          </c:extLst>
        </c:ser>
        <c:ser>
          <c:idx val="3"/>
          <c:order val="2"/>
          <c:tx>
            <c:v>Terrestrial anthracene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'[1]collated data - 2x13C plots'!$B$28</c:f>
              <c:numCache>
                <c:formatCode>General</c:formatCode>
                <c:ptCount val="1"/>
                <c:pt idx="0">
                  <c:v>-24.1</c:v>
                </c:pt>
              </c:numCache>
            </c:numRef>
          </c:xVal>
          <c:yVal>
            <c:numRef>
              <c:f>'[1]collated data - 2x13C plots'!$G$28</c:f>
              <c:numCache>
                <c:formatCode>General</c:formatCode>
                <c:ptCount val="1"/>
                <c:pt idx="0">
                  <c:v>9.7004838923684302E-3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36-3E40-9220-63921BC79817}"/>
            </c:ext>
          </c:extLst>
        </c:ser>
        <c:ser>
          <c:idx val="4"/>
          <c:order val="3"/>
          <c:tx>
            <c:v>Terrestrial fractionation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'[1]collated data - 2x13C plots'!$A$10:$A$20</c:f>
              <c:numCache>
                <c:formatCode>General</c:formatCode>
                <c:ptCount val="11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-24</c:v>
                </c:pt>
                <c:pt idx="6">
                  <c:v>-25</c:v>
                </c:pt>
                <c:pt idx="7">
                  <c:v>-25.2</c:v>
                </c:pt>
                <c:pt idx="8">
                  <c:v>-30</c:v>
                </c:pt>
                <c:pt idx="9">
                  <c:v>-3.92</c:v>
                </c:pt>
                <c:pt idx="10">
                  <c:v>-11.81</c:v>
                </c:pt>
              </c:numCache>
            </c:numRef>
          </c:xVal>
          <c:yVal>
            <c:numRef>
              <c:f>'[1]collated data - 2x13C plots'!$K$10:$K$20</c:f>
              <c:numCache>
                <c:formatCode>General</c:formatCode>
                <c:ptCount val="11"/>
                <c:pt idx="0">
                  <c:v>1.0147777093712243E-2</c:v>
                </c:pt>
                <c:pt idx="1">
                  <c:v>1.0053894087297271E-2</c:v>
                </c:pt>
                <c:pt idx="2">
                  <c:v>9.9603770004868929E-3</c:v>
                </c:pt>
                <c:pt idx="3">
                  <c:v>9.8672267774389585E-3</c:v>
                </c:pt>
                <c:pt idx="4">
                  <c:v>9.7744443638728227E-3</c:v>
                </c:pt>
                <c:pt idx="5">
                  <c:v>9.7004838923684302E-3</c:v>
                </c:pt>
                <c:pt idx="6">
                  <c:v>9.6820307070715362E-3</c:v>
                </c:pt>
                <c:pt idx="7">
                  <c:v>9.6783418443554016E-3</c:v>
                </c:pt>
                <c:pt idx="8">
                  <c:v>9.5899867558841556E-3</c:v>
                </c:pt>
                <c:pt idx="9">
                  <c:v>1.0074141865912342E-2</c:v>
                </c:pt>
                <c:pt idx="10">
                  <c:v>9.9266142055022839E-3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36-3E40-9220-63921BC79817}"/>
            </c:ext>
          </c:extLst>
        </c:ser>
        <c:ser>
          <c:idx val="1"/>
          <c:order val="4"/>
          <c:tx>
            <c:v>Terrestrial phenanthrene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'[1]collated data - 2x13C plots'!$B$27</c:f>
              <c:numCache>
                <c:formatCode>General</c:formatCode>
                <c:ptCount val="1"/>
                <c:pt idx="0">
                  <c:v>-24.4</c:v>
                </c:pt>
              </c:numCache>
            </c:numRef>
          </c:xVal>
          <c:yVal>
            <c:numRef>
              <c:f>'[1]collated data - 2x13C plots'!$G$27</c:f>
              <c:numCache>
                <c:formatCode>General</c:formatCode>
                <c:ptCount val="1"/>
                <c:pt idx="0">
                  <c:v>9.7004838923684302E-3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36-3E40-9220-63921BC79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58399"/>
        <c:axId val="1883900063"/>
      </c:scatterChart>
      <c:valAx>
        <c:axId val="183415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0.47030683153184888"/>
              <c:y val="0.85694176575304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900063"/>
        <c:crossesAt val="0"/>
        <c:crossBetween val="midCat"/>
        <c:majorUnit val="5"/>
      </c:valAx>
      <c:valAx>
        <c:axId val="1883900063"/>
        <c:scaling>
          <c:orientation val="minMax"/>
          <c:max val="1.1000000000000003E-2"/>
          <c:min val="9.0000000000000028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13C212C12/12C14</a:t>
                </a:r>
              </a:p>
            </c:rich>
          </c:tx>
          <c:layout>
            <c:manualLayout>
              <c:xMode val="edge"/>
              <c:yMode val="edge"/>
              <c:x val="0.16323408635341"/>
              <c:y val="0.33177896822581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58399"/>
        <c:crossesAt val="-3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54073102308842047"/>
          <c:y val="0.61045632802691208"/>
          <c:w val="0.44880685978964185"/>
          <c:h val="0.29578912461373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napthalene</a:t>
            </a:r>
            <a:endParaRPr lang="en-US" baseline="0"/>
          </a:p>
        </c:rich>
      </c:tx>
      <c:layout>
        <c:manualLayout>
          <c:xMode val="edge"/>
          <c:yMode val="edge"/>
          <c:x val="0.44104094647745695"/>
          <c:y val="4.1738920480454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23606811069507E-2"/>
          <c:y val="2.3562658008680556E-2"/>
          <c:w val="0.85254193132921585"/>
          <c:h val="0.87823147629558862"/>
        </c:manualLayout>
      </c:layout>
      <c:scatterChart>
        <c:scatterStyle val="lineMarker"/>
        <c:varyColors val="0"/>
        <c:ser>
          <c:idx val="2"/>
          <c:order val="0"/>
          <c:tx>
            <c:v>HB2 napthalene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'[1]collated data - 2x13C plots'!$D$34</c:f>
              <c:numCache>
                <c:formatCode>General</c:formatCode>
                <c:ptCount val="1"/>
                <c:pt idx="0">
                  <c:v>-20.352243148830993</c:v>
                </c:pt>
              </c:numCache>
            </c:numRef>
          </c:xVal>
          <c:yVal>
            <c:numRef>
              <c:f>'[1]collated data - 2x13C plots'!$H$34</c:f>
              <c:numCache>
                <c:formatCode>General</c:formatCode>
                <c:ptCount val="1"/>
                <c:pt idx="0">
                  <c:v>5.3027082583757571E-3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8-EB4B-BB90-47C686022E3B}"/>
            </c:ext>
          </c:extLst>
        </c:ser>
        <c:ser>
          <c:idx val="3"/>
          <c:order val="1"/>
          <c:tx>
            <c:v>Terrestrial napthalene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'[1]collated data - 2x13C plots'!$B$26</c:f>
              <c:numCache>
                <c:formatCode>General</c:formatCode>
                <c:ptCount val="1"/>
                <c:pt idx="0">
                  <c:v>-23.8</c:v>
                </c:pt>
              </c:numCache>
            </c:numRef>
          </c:xVal>
          <c:yVal>
            <c:numRef>
              <c:f>'[1]collated data - 2x13C plots'!$G$26</c:f>
              <c:numCache>
                <c:formatCode>General</c:formatCode>
                <c:ptCount val="1"/>
                <c:pt idx="0">
                  <c:v>5.0133436816867678E-3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F8-EB4B-BB90-47C686022E3B}"/>
            </c:ext>
          </c:extLst>
        </c:ser>
        <c:ser>
          <c:idx val="4"/>
          <c:order val="2"/>
          <c:tx>
            <c:v>Terrestrial fractionation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'[1]collated data - 2x13C plots'!$A$10:$A$20</c:f>
              <c:numCache>
                <c:formatCode>General</c:formatCode>
                <c:ptCount val="11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-24</c:v>
                </c:pt>
                <c:pt idx="6">
                  <c:v>-25</c:v>
                </c:pt>
                <c:pt idx="7">
                  <c:v>-25.2</c:v>
                </c:pt>
                <c:pt idx="8">
                  <c:v>-30</c:v>
                </c:pt>
                <c:pt idx="9">
                  <c:v>-3.92</c:v>
                </c:pt>
                <c:pt idx="10">
                  <c:v>-11.81</c:v>
                </c:pt>
              </c:numCache>
            </c:numRef>
          </c:xVal>
          <c:yVal>
            <c:numRef>
              <c:f>'[1]collated data - 2x13C plots'!$N$10:$N$20</c:f>
              <c:numCache>
                <c:formatCode>General</c:formatCode>
                <c:ptCount val="11"/>
                <c:pt idx="0">
                  <c:v>5.2501724127756964E-3</c:v>
                </c:pt>
                <c:pt idx="1">
                  <c:v>5.2004310748046349E-3</c:v>
                </c:pt>
                <c:pt idx="2">
                  <c:v>5.150900994252197E-3</c:v>
                </c:pt>
                <c:pt idx="3">
                  <c:v>5.1015825261389973E-3</c:v>
                </c:pt>
                <c:pt idx="4">
                  <c:v>5.0524760258977737E-3</c:v>
                </c:pt>
                <c:pt idx="5">
                  <c:v>5.0133436816867678E-3</c:v>
                </c:pt>
                <c:pt idx="6">
                  <c:v>5.0035818493737918E-3</c:v>
                </c:pt>
                <c:pt idx="7">
                  <c:v>5.0016305036836685E-3</c:v>
                </c:pt>
                <c:pt idx="8">
                  <c:v>4.954900352825301E-3</c:v>
                </c:pt>
                <c:pt idx="9">
                  <c:v>5.2111573283948488E-3</c:v>
                </c:pt>
                <c:pt idx="10">
                  <c:v>5.1330232535885334E-3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F8-EB4B-BB90-47C686022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58399"/>
        <c:axId val="1883900063"/>
      </c:scatterChart>
      <c:valAx>
        <c:axId val="183415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0.47030683153184888"/>
              <c:y val="0.85694176575304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900063"/>
        <c:crossesAt val="0"/>
        <c:crossBetween val="midCat"/>
        <c:majorUnit val="5"/>
      </c:valAx>
      <c:valAx>
        <c:axId val="1883900063"/>
        <c:scaling>
          <c:orientation val="minMax"/>
          <c:max val="6.0000000000000019E-3"/>
          <c:min val="4.000000000000001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13C212C8/12C10</a:t>
                </a:r>
              </a:p>
            </c:rich>
          </c:tx>
          <c:layout>
            <c:manualLayout>
              <c:xMode val="edge"/>
              <c:yMode val="edge"/>
              <c:x val="0.16323408635341"/>
              <c:y val="0.33177896822581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58399"/>
        <c:crossesAt val="-3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54073102308842047"/>
          <c:y val="0.61045632802691208"/>
          <c:w val="0.44880685978964185"/>
          <c:h val="0.29578912461373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122905606501302E-2"/>
          <c:y val="4.4051470322490092E-2"/>
          <c:w val="0.86179419754577635"/>
          <c:h val="0.94129132195805421"/>
        </c:manualLayout>
      </c:layout>
      <c:scatterChart>
        <c:scatterStyle val="lineMarker"/>
        <c:varyColors val="0"/>
        <c:ser>
          <c:idx val="0"/>
          <c:order val="0"/>
          <c:tx>
            <c:v>a106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'[1]collated data - 2x13C plots'!$C$34:$C$38</c:f>
                <c:numCache>
                  <c:formatCode>General</c:formatCode>
                  <c:ptCount val="5"/>
                  <c:pt idx="0">
                    <c:v>8.0008463184361229</c:v>
                  </c:pt>
                  <c:pt idx="1">
                    <c:v>5.1341941399899937</c:v>
                  </c:pt>
                  <c:pt idx="2">
                    <c:v>4.7588449033731104</c:v>
                  </c:pt>
                  <c:pt idx="3">
                    <c:v>3.1424566702089236</c:v>
                  </c:pt>
                  <c:pt idx="4">
                    <c:v>2.8741654051067829</c:v>
                  </c:pt>
                </c:numCache>
              </c:numRef>
            </c:plus>
            <c:minus>
              <c:numRef>
                <c:f>'[1]collated data - 2x13C plots'!$C$34:$C$38</c:f>
                <c:numCache>
                  <c:formatCode>General</c:formatCode>
                  <c:ptCount val="5"/>
                  <c:pt idx="0">
                    <c:v>8.0008463184361229</c:v>
                  </c:pt>
                  <c:pt idx="1">
                    <c:v>5.1341941399899937</c:v>
                  </c:pt>
                  <c:pt idx="2">
                    <c:v>4.7588449033731104</c:v>
                  </c:pt>
                  <c:pt idx="3">
                    <c:v>3.1424566702089236</c:v>
                  </c:pt>
                  <c:pt idx="4">
                    <c:v>2.8741654051067829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'[1]collated data - 2x13C plots'!$A$34:$A$38</c:f>
              <c:strCache>
                <c:ptCount val="5"/>
                <c:pt idx="0">
                  <c:v>Napthalene</c:v>
                </c:pt>
                <c:pt idx="1">
                  <c:v>Phenanthrene</c:v>
                </c:pt>
                <c:pt idx="2">
                  <c:v>Anthracene</c:v>
                </c:pt>
                <c:pt idx="3">
                  <c:v>Fluoranthene</c:v>
                </c:pt>
                <c:pt idx="4">
                  <c:v>Pyrene</c:v>
                </c:pt>
              </c:strCache>
            </c:strRef>
          </c:xVal>
          <c:yVal>
            <c:numRef>
              <c:f>'[1]collated data - 2x13C plots'!$B$34:$B$38</c:f>
              <c:numCache>
                <c:formatCode>General</c:formatCode>
                <c:ptCount val="5"/>
                <c:pt idx="0">
                  <c:v>-39.216306675088461</c:v>
                </c:pt>
                <c:pt idx="1">
                  <c:v>-0.11257645158002649</c:v>
                </c:pt>
                <c:pt idx="2">
                  <c:v>-2.5596859117702486</c:v>
                </c:pt>
                <c:pt idx="3">
                  <c:v>-17.832801774581462</c:v>
                </c:pt>
                <c:pt idx="4">
                  <c:v>-32.246496689373181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2D-1443-A1DA-8BD16FAA7DA4}"/>
            </c:ext>
          </c:extLst>
        </c:ser>
        <c:ser>
          <c:idx val="1"/>
          <c:order val="1"/>
          <c:tx>
            <c:v>c107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'[1]collated data - 2x13C plots'!$E$34:$E$38</c:f>
                <c:numCache>
                  <c:formatCode>General</c:formatCode>
                  <c:ptCount val="5"/>
                  <c:pt idx="0">
                    <c:v>4.9045746326710198</c:v>
                  </c:pt>
                  <c:pt idx="1">
                    <c:v>4.1910226162314439</c:v>
                  </c:pt>
                  <c:pt idx="2">
                    <c:v>4.5140102784322647</c:v>
                  </c:pt>
                  <c:pt idx="3">
                    <c:v>2.5416762408600606</c:v>
                  </c:pt>
                  <c:pt idx="4">
                    <c:v>2.1149845144850712</c:v>
                  </c:pt>
                </c:numCache>
              </c:numRef>
            </c:plus>
            <c:minus>
              <c:numRef>
                <c:f>'[1]collated data - 2x13C plots'!$E$34:$E$38</c:f>
                <c:numCache>
                  <c:formatCode>General</c:formatCode>
                  <c:ptCount val="5"/>
                  <c:pt idx="0">
                    <c:v>4.9045746326710198</c:v>
                  </c:pt>
                  <c:pt idx="1">
                    <c:v>4.1910226162314439</c:v>
                  </c:pt>
                  <c:pt idx="2">
                    <c:v>4.5140102784322647</c:v>
                  </c:pt>
                  <c:pt idx="3">
                    <c:v>2.5416762408600606</c:v>
                  </c:pt>
                  <c:pt idx="4">
                    <c:v>2.1149845144850712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'[1]collated data - 2x13C plots'!$A$34:$A$38</c:f>
              <c:strCache>
                <c:ptCount val="5"/>
                <c:pt idx="0">
                  <c:v>Napthalene</c:v>
                </c:pt>
                <c:pt idx="1">
                  <c:v>Phenanthrene</c:v>
                </c:pt>
                <c:pt idx="2">
                  <c:v>Anthracene</c:v>
                </c:pt>
                <c:pt idx="3">
                  <c:v>Fluoranthene</c:v>
                </c:pt>
                <c:pt idx="4">
                  <c:v>Pyrene</c:v>
                </c:pt>
              </c:strCache>
            </c:strRef>
          </c:xVal>
          <c:yVal>
            <c:numRef>
              <c:f>'[1]collated data - 2x13C plots'!$D$34:$D$38</c:f>
              <c:numCache>
                <c:formatCode>General</c:formatCode>
                <c:ptCount val="5"/>
                <c:pt idx="0">
                  <c:v>-20.352243148830993</c:v>
                </c:pt>
                <c:pt idx="1">
                  <c:v>-12.644453810510715</c:v>
                </c:pt>
                <c:pt idx="2">
                  <c:v>-16.713071237317468</c:v>
                </c:pt>
                <c:pt idx="3">
                  <c:v>-17.106026968804812</c:v>
                </c:pt>
                <c:pt idx="4">
                  <c:v>-23.633026104479924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2D-1443-A1DA-8BD16FAA7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316592"/>
        <c:axId val="1439505632"/>
      </c:scatterChart>
      <c:valAx>
        <c:axId val="148131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05632"/>
        <c:crosses val="autoZero"/>
        <c:crossBetween val="midCat"/>
      </c:valAx>
      <c:valAx>
        <c:axId val="1439505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31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phenanthrene and anthrace</a:t>
            </a:r>
            <a:r>
              <a:rPr lang="en-US" baseline="0"/>
              <a:t>ne</a:t>
            </a:r>
          </a:p>
        </c:rich>
      </c:tx>
      <c:layout>
        <c:manualLayout>
          <c:xMode val="edge"/>
          <c:yMode val="edge"/>
          <c:x val="0.23214366021386942"/>
          <c:y val="2.0907376579923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23802440751821E-2"/>
          <c:y val="6.2843227672362445E-2"/>
          <c:w val="0.85254193132921585"/>
          <c:h val="0.87823147629558862"/>
        </c:manualLayout>
      </c:layout>
      <c:scatterChart>
        <c:scatterStyle val="lineMarker"/>
        <c:varyColors val="0"/>
        <c:ser>
          <c:idx val="0"/>
          <c:order val="0"/>
          <c:tx>
            <c:v>HB2 phenanthrene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'[1]collated data - 2x13C plots'!$D$35</c:f>
              <c:numCache>
                <c:formatCode>General</c:formatCode>
                <c:ptCount val="1"/>
                <c:pt idx="0">
                  <c:v>-12.644453810510715</c:v>
                </c:pt>
              </c:numCache>
            </c:numRef>
          </c:xVal>
          <c:yVal>
            <c:numRef>
              <c:f>'[1]collated data - 2x13C plots'!$H$35</c:f>
              <c:numCache>
                <c:formatCode>General</c:formatCode>
                <c:ptCount val="1"/>
                <c:pt idx="0">
                  <c:v>9.9474919763632881E-3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6-D04C-9A0F-802740BC3D17}"/>
            </c:ext>
          </c:extLst>
        </c:ser>
        <c:ser>
          <c:idx val="2"/>
          <c:order val="1"/>
          <c:tx>
            <c:v>HB2 anthracene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'[1]collated data - 2x13C plots'!$D$36</c:f>
              <c:numCache>
                <c:formatCode>General</c:formatCode>
                <c:ptCount val="1"/>
                <c:pt idx="0">
                  <c:v>-16.713071237317468</c:v>
                </c:pt>
              </c:numCache>
            </c:numRef>
          </c:xVal>
          <c:yVal>
            <c:numRef>
              <c:f>'[1]collated data - 2x13C plots'!$H$36</c:f>
              <c:numCache>
                <c:formatCode>General</c:formatCode>
                <c:ptCount val="1"/>
                <c:pt idx="0">
                  <c:v>9.8029124096156682E-3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36-D04C-9A0F-802740BC3D17}"/>
            </c:ext>
          </c:extLst>
        </c:ser>
        <c:ser>
          <c:idx val="3"/>
          <c:order val="2"/>
          <c:tx>
            <c:v>Terrestrial anthracene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'[1]collated data - 2x13C plots'!$B$28</c:f>
              <c:numCache>
                <c:formatCode>General</c:formatCode>
                <c:ptCount val="1"/>
                <c:pt idx="0">
                  <c:v>-24.1</c:v>
                </c:pt>
              </c:numCache>
            </c:numRef>
          </c:xVal>
          <c:yVal>
            <c:numRef>
              <c:f>'[1]collated data - 2x13C plots'!$G$28</c:f>
              <c:numCache>
                <c:formatCode>General</c:formatCode>
                <c:ptCount val="1"/>
                <c:pt idx="0">
                  <c:v>9.7004838923684302E-3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36-D04C-9A0F-802740BC3D17}"/>
            </c:ext>
          </c:extLst>
        </c:ser>
        <c:ser>
          <c:idx val="4"/>
          <c:order val="3"/>
          <c:tx>
            <c:v>Terrestrial fractionation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'[1]collated data - 2x13C plots'!$A$10:$A$20</c:f>
              <c:numCache>
                <c:formatCode>General</c:formatCode>
                <c:ptCount val="11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-24</c:v>
                </c:pt>
                <c:pt idx="6">
                  <c:v>-25</c:v>
                </c:pt>
                <c:pt idx="7">
                  <c:v>-25.2</c:v>
                </c:pt>
                <c:pt idx="8">
                  <c:v>-30</c:v>
                </c:pt>
                <c:pt idx="9">
                  <c:v>-3.92</c:v>
                </c:pt>
                <c:pt idx="10">
                  <c:v>-11.81</c:v>
                </c:pt>
              </c:numCache>
            </c:numRef>
          </c:xVal>
          <c:yVal>
            <c:numRef>
              <c:f>'[1]collated data - 2x13C plots'!$K$10:$K$20</c:f>
              <c:numCache>
                <c:formatCode>General</c:formatCode>
                <c:ptCount val="11"/>
                <c:pt idx="0">
                  <c:v>1.0147777093712243E-2</c:v>
                </c:pt>
                <c:pt idx="1">
                  <c:v>1.0053894087297271E-2</c:v>
                </c:pt>
                <c:pt idx="2">
                  <c:v>9.9603770004868929E-3</c:v>
                </c:pt>
                <c:pt idx="3">
                  <c:v>9.8672267774389585E-3</c:v>
                </c:pt>
                <c:pt idx="4">
                  <c:v>9.7744443638728227E-3</c:v>
                </c:pt>
                <c:pt idx="5">
                  <c:v>9.7004838923684302E-3</c:v>
                </c:pt>
                <c:pt idx="6">
                  <c:v>9.6820307070715362E-3</c:v>
                </c:pt>
                <c:pt idx="7">
                  <c:v>9.6783418443554016E-3</c:v>
                </c:pt>
                <c:pt idx="8">
                  <c:v>9.5899867558841556E-3</c:v>
                </c:pt>
                <c:pt idx="9">
                  <c:v>1.0074141865912342E-2</c:v>
                </c:pt>
                <c:pt idx="10">
                  <c:v>9.9266142055022839E-3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36-D04C-9A0F-802740BC3D17}"/>
            </c:ext>
          </c:extLst>
        </c:ser>
        <c:ser>
          <c:idx val="1"/>
          <c:order val="4"/>
          <c:tx>
            <c:v>Terrestrial phenanthrene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'[1]collated data - 2x13C plots'!$B$27</c:f>
              <c:numCache>
                <c:formatCode>General</c:formatCode>
                <c:ptCount val="1"/>
                <c:pt idx="0">
                  <c:v>-24.4</c:v>
                </c:pt>
              </c:numCache>
            </c:numRef>
          </c:xVal>
          <c:yVal>
            <c:numRef>
              <c:f>'[1]collated data - 2x13C plots'!$G$27</c:f>
              <c:numCache>
                <c:formatCode>General</c:formatCode>
                <c:ptCount val="1"/>
                <c:pt idx="0">
                  <c:v>9.7004838923684302E-3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36-D04C-9A0F-802740BC3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58399"/>
        <c:axId val="1883900063"/>
      </c:scatterChart>
      <c:valAx>
        <c:axId val="183415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0.47030683153184888"/>
              <c:y val="0.85694176575304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900063"/>
        <c:crossesAt val="0"/>
        <c:crossBetween val="midCat"/>
        <c:majorUnit val="5"/>
      </c:valAx>
      <c:valAx>
        <c:axId val="1883900063"/>
        <c:scaling>
          <c:orientation val="minMax"/>
          <c:max val="1.1000000000000003E-2"/>
          <c:min val="9.0000000000000028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13C212C12/12C14</a:t>
                </a:r>
              </a:p>
            </c:rich>
          </c:tx>
          <c:layout>
            <c:manualLayout>
              <c:xMode val="edge"/>
              <c:yMode val="edge"/>
              <c:x val="0.16323408635341"/>
              <c:y val="0.33177896822581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58399"/>
        <c:crossesAt val="-3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54073102308842047"/>
          <c:y val="0.61045632802691208"/>
          <c:w val="0.44880685978964185"/>
          <c:h val="0.29578912461373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napthalene</a:t>
            </a:r>
            <a:endParaRPr lang="en-US" baseline="0"/>
          </a:p>
        </c:rich>
      </c:tx>
      <c:layout>
        <c:manualLayout>
          <c:xMode val="edge"/>
          <c:yMode val="edge"/>
          <c:x val="0.44104094647745695"/>
          <c:y val="4.1738920480454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23606811069507E-2"/>
          <c:y val="2.3562658008680556E-2"/>
          <c:w val="0.85254193132921585"/>
          <c:h val="0.87823147629558862"/>
        </c:manualLayout>
      </c:layout>
      <c:scatterChart>
        <c:scatterStyle val="lineMarker"/>
        <c:varyColors val="0"/>
        <c:ser>
          <c:idx val="2"/>
          <c:order val="0"/>
          <c:tx>
            <c:v>HB2 napthalene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'[1]collated data - 2x13C plots'!$D$34</c:f>
              <c:numCache>
                <c:formatCode>General</c:formatCode>
                <c:ptCount val="1"/>
                <c:pt idx="0">
                  <c:v>-20.352243148830993</c:v>
                </c:pt>
              </c:numCache>
            </c:numRef>
          </c:xVal>
          <c:yVal>
            <c:numRef>
              <c:f>'[1]collated data - 2x13C plots'!$H$34</c:f>
              <c:numCache>
                <c:formatCode>General</c:formatCode>
                <c:ptCount val="1"/>
                <c:pt idx="0">
                  <c:v>5.3027082583757571E-3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F-5541-ABF3-E4A730DF009C}"/>
            </c:ext>
          </c:extLst>
        </c:ser>
        <c:ser>
          <c:idx val="3"/>
          <c:order val="1"/>
          <c:tx>
            <c:v>Terrestrial napthalene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'[1]collated data - 2x13C plots'!$B$26</c:f>
              <c:numCache>
                <c:formatCode>General</c:formatCode>
                <c:ptCount val="1"/>
                <c:pt idx="0">
                  <c:v>-23.8</c:v>
                </c:pt>
              </c:numCache>
            </c:numRef>
          </c:xVal>
          <c:yVal>
            <c:numRef>
              <c:f>'[1]collated data - 2x13C plots'!$G$26</c:f>
              <c:numCache>
                <c:formatCode>General</c:formatCode>
                <c:ptCount val="1"/>
                <c:pt idx="0">
                  <c:v>5.0133436816867678E-3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0F-5541-ABF3-E4A730DF009C}"/>
            </c:ext>
          </c:extLst>
        </c:ser>
        <c:ser>
          <c:idx val="4"/>
          <c:order val="2"/>
          <c:tx>
            <c:v>Terrestrial fractionation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353175084888287E-3"/>
                  <c:y val="-7.14612684505890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'[1]collated data - 2x13C plots'!$A$10:$A$20</c:f>
              <c:numCache>
                <c:formatCode>General</c:formatCode>
                <c:ptCount val="11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-24</c:v>
                </c:pt>
                <c:pt idx="6">
                  <c:v>-25</c:v>
                </c:pt>
                <c:pt idx="7">
                  <c:v>-25.2</c:v>
                </c:pt>
                <c:pt idx="8">
                  <c:v>-30</c:v>
                </c:pt>
                <c:pt idx="9">
                  <c:v>-3.92</c:v>
                </c:pt>
                <c:pt idx="10">
                  <c:v>-11.81</c:v>
                </c:pt>
              </c:numCache>
            </c:numRef>
          </c:xVal>
          <c:yVal>
            <c:numRef>
              <c:f>'[1]collated data - 2x13C plots'!$N$10:$N$20</c:f>
              <c:numCache>
                <c:formatCode>General</c:formatCode>
                <c:ptCount val="11"/>
                <c:pt idx="0">
                  <c:v>5.2501724127756964E-3</c:v>
                </c:pt>
                <c:pt idx="1">
                  <c:v>5.2004310748046349E-3</c:v>
                </c:pt>
                <c:pt idx="2">
                  <c:v>5.150900994252197E-3</c:v>
                </c:pt>
                <c:pt idx="3">
                  <c:v>5.1015825261389973E-3</c:v>
                </c:pt>
                <c:pt idx="4">
                  <c:v>5.0524760258977737E-3</c:v>
                </c:pt>
                <c:pt idx="5">
                  <c:v>5.0133436816867678E-3</c:v>
                </c:pt>
                <c:pt idx="6">
                  <c:v>5.0035818493737918E-3</c:v>
                </c:pt>
                <c:pt idx="7">
                  <c:v>5.0016305036836685E-3</c:v>
                </c:pt>
                <c:pt idx="8">
                  <c:v>4.954900352825301E-3</c:v>
                </c:pt>
                <c:pt idx="9">
                  <c:v>5.2111573283948488E-3</c:v>
                </c:pt>
                <c:pt idx="10">
                  <c:v>5.1330232535885334E-3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0F-5541-ABF3-E4A730DF0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58399"/>
        <c:axId val="1883900063"/>
      </c:scatterChart>
      <c:valAx>
        <c:axId val="183415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0.47030683153184888"/>
              <c:y val="0.85694176575304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900063"/>
        <c:crossesAt val="0"/>
        <c:crossBetween val="midCat"/>
        <c:majorUnit val="5"/>
      </c:valAx>
      <c:valAx>
        <c:axId val="1883900063"/>
        <c:scaling>
          <c:orientation val="minMax"/>
          <c:max val="6.0000000000000019E-3"/>
          <c:min val="4.000000000000001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13C212C8/12C10</a:t>
                </a:r>
              </a:p>
            </c:rich>
          </c:tx>
          <c:layout>
            <c:manualLayout>
              <c:xMode val="edge"/>
              <c:yMode val="edge"/>
              <c:x val="0.16323408635341"/>
              <c:y val="0.33177896822581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58399"/>
        <c:crossesAt val="-3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54073102308842047"/>
          <c:y val="0.61045632802691208"/>
          <c:w val="0.44880685978964185"/>
          <c:h val="0.29578912461373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528343338259797E-2"/>
          <c:y val="4.3793770999495815E-2"/>
          <c:w val="0.86179419754577635"/>
          <c:h val="0.94129132195805421"/>
        </c:manualLayout>
      </c:layout>
      <c:scatterChart>
        <c:scatterStyle val="lineMarker"/>
        <c:varyColors val="0"/>
        <c:ser>
          <c:idx val="0"/>
          <c:order val="0"/>
          <c:tx>
            <c:v>a106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'[1]collated data - 2x13C plots'!$C$34:$C$38</c:f>
                <c:numCache>
                  <c:formatCode>General</c:formatCode>
                  <c:ptCount val="5"/>
                  <c:pt idx="0">
                    <c:v>8.0008463184361229</c:v>
                  </c:pt>
                  <c:pt idx="1">
                    <c:v>5.1341941399899937</c:v>
                  </c:pt>
                  <c:pt idx="2">
                    <c:v>4.7588449033731104</c:v>
                  </c:pt>
                  <c:pt idx="3">
                    <c:v>3.1424566702089236</c:v>
                  </c:pt>
                  <c:pt idx="4">
                    <c:v>2.8741654051067829</c:v>
                  </c:pt>
                </c:numCache>
              </c:numRef>
            </c:plus>
            <c:minus>
              <c:numRef>
                <c:f>'[1]collated data - 2x13C plots'!$C$34:$C$38</c:f>
                <c:numCache>
                  <c:formatCode>General</c:formatCode>
                  <c:ptCount val="5"/>
                  <c:pt idx="0">
                    <c:v>8.0008463184361229</c:v>
                  </c:pt>
                  <c:pt idx="1">
                    <c:v>5.1341941399899937</c:v>
                  </c:pt>
                  <c:pt idx="2">
                    <c:v>4.7588449033731104</c:v>
                  </c:pt>
                  <c:pt idx="3">
                    <c:v>3.1424566702089236</c:v>
                  </c:pt>
                  <c:pt idx="4">
                    <c:v>2.8741654051067829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'[1]collated data - 2x13C plots'!$A$34:$A$38</c:f>
              <c:strCache>
                <c:ptCount val="5"/>
                <c:pt idx="0">
                  <c:v>Napthalene</c:v>
                </c:pt>
                <c:pt idx="1">
                  <c:v>Phenanthrene</c:v>
                </c:pt>
                <c:pt idx="2">
                  <c:v>Anthracene</c:v>
                </c:pt>
                <c:pt idx="3">
                  <c:v>Fluoranthene</c:v>
                </c:pt>
                <c:pt idx="4">
                  <c:v>Pyrene</c:v>
                </c:pt>
              </c:strCache>
            </c:strRef>
          </c:xVal>
          <c:yVal>
            <c:numRef>
              <c:f>'[1]collated data - 2x13C plots'!$B$34:$B$38</c:f>
              <c:numCache>
                <c:formatCode>General</c:formatCode>
                <c:ptCount val="5"/>
                <c:pt idx="0">
                  <c:v>-39.216306675088461</c:v>
                </c:pt>
                <c:pt idx="1">
                  <c:v>-0.11257645158002649</c:v>
                </c:pt>
                <c:pt idx="2">
                  <c:v>-2.5596859117702486</c:v>
                </c:pt>
                <c:pt idx="3">
                  <c:v>-17.832801774581462</c:v>
                </c:pt>
                <c:pt idx="4">
                  <c:v>-32.246496689373181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0-0342-8568-3A245D148BC7}"/>
            </c:ext>
          </c:extLst>
        </c:ser>
        <c:ser>
          <c:idx val="1"/>
          <c:order val="1"/>
          <c:tx>
            <c:v>c107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'[1]collated data - 2x13C plots'!$E$34:$E$38</c:f>
                <c:numCache>
                  <c:formatCode>General</c:formatCode>
                  <c:ptCount val="5"/>
                  <c:pt idx="0">
                    <c:v>4.9045746326710198</c:v>
                  </c:pt>
                  <c:pt idx="1">
                    <c:v>4.1910226162314439</c:v>
                  </c:pt>
                  <c:pt idx="2">
                    <c:v>4.5140102784322647</c:v>
                  </c:pt>
                  <c:pt idx="3">
                    <c:v>2.5416762408600606</c:v>
                  </c:pt>
                  <c:pt idx="4">
                    <c:v>2.1149845144850712</c:v>
                  </c:pt>
                </c:numCache>
              </c:numRef>
            </c:plus>
            <c:minus>
              <c:numRef>
                <c:f>'[1]collated data - 2x13C plots'!$E$34:$E$38</c:f>
                <c:numCache>
                  <c:formatCode>General</c:formatCode>
                  <c:ptCount val="5"/>
                  <c:pt idx="0">
                    <c:v>4.9045746326710198</c:v>
                  </c:pt>
                  <c:pt idx="1">
                    <c:v>4.1910226162314439</c:v>
                  </c:pt>
                  <c:pt idx="2">
                    <c:v>4.5140102784322647</c:v>
                  </c:pt>
                  <c:pt idx="3">
                    <c:v>2.5416762408600606</c:v>
                  </c:pt>
                  <c:pt idx="4">
                    <c:v>2.1149845144850712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'[1]collated data - 2x13C plots'!$A$34:$A$38</c:f>
              <c:strCache>
                <c:ptCount val="5"/>
                <c:pt idx="0">
                  <c:v>Napthalene</c:v>
                </c:pt>
                <c:pt idx="1">
                  <c:v>Phenanthrene</c:v>
                </c:pt>
                <c:pt idx="2">
                  <c:v>Anthracene</c:v>
                </c:pt>
                <c:pt idx="3">
                  <c:v>Fluoranthene</c:v>
                </c:pt>
                <c:pt idx="4">
                  <c:v>Pyrene</c:v>
                </c:pt>
              </c:strCache>
            </c:strRef>
          </c:xVal>
          <c:yVal>
            <c:numRef>
              <c:f>'[1]collated data - 2x13C plots'!$D$34:$D$38</c:f>
              <c:numCache>
                <c:formatCode>General</c:formatCode>
                <c:ptCount val="5"/>
                <c:pt idx="0">
                  <c:v>-20.352243148830993</c:v>
                </c:pt>
                <c:pt idx="1">
                  <c:v>-12.644453810510715</c:v>
                </c:pt>
                <c:pt idx="2">
                  <c:v>-16.713071237317468</c:v>
                </c:pt>
                <c:pt idx="3">
                  <c:v>-17.106026968804812</c:v>
                </c:pt>
                <c:pt idx="4">
                  <c:v>-23.633026104479924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20-0342-8568-3A245D148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316592"/>
        <c:axId val="1439505632"/>
      </c:scatterChart>
      <c:valAx>
        <c:axId val="148131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05632"/>
        <c:crosses val="autoZero"/>
        <c:crossBetween val="midCat"/>
      </c:valAx>
      <c:valAx>
        <c:axId val="1439505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31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fluoranthene and pyrene</a:t>
            </a:r>
          </a:p>
        </c:rich>
      </c:tx>
      <c:layout>
        <c:manualLayout>
          <c:xMode val="edge"/>
          <c:yMode val="edge"/>
          <c:x val="0.317662529637327"/>
          <c:y val="2.9288702928870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040868913550079E-2"/>
          <c:y val="6.2843162461835134E-2"/>
          <c:w val="0.85254193132921585"/>
          <c:h val="0.87823147629558862"/>
        </c:manualLayout>
      </c:layout>
      <c:scatterChart>
        <c:scatterStyle val="lineMarker"/>
        <c:varyColors val="0"/>
        <c:ser>
          <c:idx val="0"/>
          <c:order val="0"/>
          <c:tx>
            <c:v>HB2 pyrene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2AF-E04D-8AA2-C60AAA089281}"/>
              </c:ext>
            </c:extLst>
          </c:dPt>
          <c:xVal>
            <c:numRef>
              <c:f>'[1]collated data - 2x13C plots'!$D$38</c:f>
              <c:numCache>
                <c:formatCode>General</c:formatCode>
                <c:ptCount val="1"/>
                <c:pt idx="0">
                  <c:v>-23.633026104479924</c:v>
                </c:pt>
              </c:numCache>
            </c:numRef>
          </c:xVal>
          <c:yVal>
            <c:numRef>
              <c:f>'[1]collated data - 2x13C plots'!$H$38</c:f>
              <c:numCache>
                <c:formatCode>General</c:formatCode>
                <c:ptCount val="1"/>
                <c:pt idx="0">
                  <c:v>1.2785175667701274E-2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AF-E04D-8AA2-C60AAA089281}"/>
            </c:ext>
          </c:extLst>
        </c:ser>
        <c:ser>
          <c:idx val="2"/>
          <c:order val="1"/>
          <c:tx>
            <c:v>HB2 fluoranthene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'[1]collated data - 2x13C plots'!$D$37</c:f>
              <c:numCache>
                <c:formatCode>General</c:formatCode>
                <c:ptCount val="1"/>
                <c:pt idx="0">
                  <c:v>-17.106026968804812</c:v>
                </c:pt>
              </c:numCache>
            </c:numRef>
          </c:xVal>
          <c:yVal>
            <c:numRef>
              <c:f>'[1]collated data - 2x13C plots'!$H$37</c:f>
              <c:numCache>
                <c:formatCode>General</c:formatCode>
                <c:ptCount val="1"/>
                <c:pt idx="0">
                  <c:v>1.2851022838155073E-2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AF-E04D-8AA2-C60AAA089281}"/>
            </c:ext>
          </c:extLst>
        </c:ser>
        <c:ser>
          <c:idx val="3"/>
          <c:order val="2"/>
          <c:tx>
            <c:v>Terrestrial fluoranthene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'[1]collated data - 2x13C plots'!$B$29</c:f>
              <c:numCache>
                <c:formatCode>General</c:formatCode>
                <c:ptCount val="1"/>
                <c:pt idx="0">
                  <c:v>-24.2</c:v>
                </c:pt>
              </c:numCache>
            </c:numRef>
          </c:xVal>
          <c:yVal>
            <c:numRef>
              <c:f>'[1]collated data - 2x13C plots'!$G$29</c:f>
              <c:numCache>
                <c:formatCode>General</c:formatCode>
                <c:ptCount val="1"/>
                <c:pt idx="0">
                  <c:v>1.2484496970401127E-2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AF-E04D-8AA2-C60AAA089281}"/>
            </c:ext>
          </c:extLst>
        </c:ser>
        <c:ser>
          <c:idx val="4"/>
          <c:order val="3"/>
          <c:tx>
            <c:v>Terrestrial fractionation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'[1]collated data - 2x13C plots'!$A$10:$A$20</c:f>
              <c:numCache>
                <c:formatCode>General</c:formatCode>
                <c:ptCount val="11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-24</c:v>
                </c:pt>
                <c:pt idx="6">
                  <c:v>-25</c:v>
                </c:pt>
                <c:pt idx="7">
                  <c:v>-25.2</c:v>
                </c:pt>
                <c:pt idx="8">
                  <c:v>-30</c:v>
                </c:pt>
                <c:pt idx="9">
                  <c:v>-3.92</c:v>
                </c:pt>
                <c:pt idx="10">
                  <c:v>-11.81</c:v>
                </c:pt>
              </c:numCache>
            </c:numRef>
          </c:xVal>
          <c:yVal>
            <c:numRef>
              <c:f>'[1]collated data - 2x13C plots'!$H$10:$H$20</c:f>
              <c:numCache>
                <c:formatCode>General</c:formatCode>
                <c:ptCount val="11"/>
                <c:pt idx="0">
                  <c:v>1.3082628526600283E-2</c:v>
                </c:pt>
                <c:pt idx="1">
                  <c:v>1.2963050140246032E-2</c:v>
                </c:pt>
                <c:pt idx="2">
                  <c:v>1.2843916646688725E-2</c:v>
                </c:pt>
                <c:pt idx="3">
                  <c:v>1.2725229415833443E-2</c:v>
                </c:pt>
                <c:pt idx="4">
                  <c:v>1.2606989820198332E-2</c:v>
                </c:pt>
                <c:pt idx="5">
                  <c:v>1.2512721365051733E-2</c:v>
                </c:pt>
                <c:pt idx="6">
                  <c:v>1.2489199234918811E-2</c:v>
                </c:pt>
                <c:pt idx="7">
                  <c:v>1.2484496970401127E-2</c:v>
                </c:pt>
                <c:pt idx="8">
                  <c:v>1.237185903775195E-2</c:v>
                </c:pt>
                <c:pt idx="9">
                  <c:v>1.2988841448701686E-2</c:v>
                </c:pt>
                <c:pt idx="10">
                  <c:v>1.2800900263693923E-2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AF-E04D-8AA2-C60AAA089281}"/>
            </c:ext>
          </c:extLst>
        </c:ser>
        <c:ser>
          <c:idx val="1"/>
          <c:order val="4"/>
          <c:tx>
            <c:v>Terrestrial pyrene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'[1]collated data - 2x13C plots'!$B$30</c:f>
              <c:numCache>
                <c:formatCode>General</c:formatCode>
                <c:ptCount val="1"/>
                <c:pt idx="0">
                  <c:v>-25.2</c:v>
                </c:pt>
              </c:numCache>
            </c:numRef>
          </c:xVal>
          <c:yVal>
            <c:numRef>
              <c:f>'[1]collated data - 2x13C plots'!$G$30</c:f>
              <c:numCache>
                <c:formatCode>General</c:formatCode>
                <c:ptCount val="1"/>
                <c:pt idx="0">
                  <c:v>1.2484496970401127E-2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2AF-E04D-8AA2-C60AAA089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58399"/>
        <c:axId val="1883900063"/>
      </c:scatterChart>
      <c:valAx>
        <c:axId val="183415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0.47946945525861312"/>
              <c:y val="0.898847560372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900063"/>
        <c:crossesAt val="1.1800000000000003E-2"/>
        <c:crossBetween val="midCat"/>
        <c:majorUnit val="5"/>
      </c:valAx>
      <c:valAx>
        <c:axId val="18839000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13C212C14/12C16</a:t>
                </a:r>
              </a:p>
            </c:rich>
          </c:tx>
          <c:layout>
            <c:manualLayout>
              <c:xMode val="edge"/>
              <c:yMode val="edge"/>
              <c:x val="0.18155956562361342"/>
              <c:y val="0.29406372654964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58399"/>
        <c:crossesAt val="-3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63235850896734391"/>
          <c:y val="0.57274112164550861"/>
          <c:w val="0.35717950149848288"/>
          <c:h val="0.3209327680193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phenanthrene and anthrace</a:t>
            </a:r>
            <a:r>
              <a:rPr lang="en-US" baseline="0"/>
              <a:t>ne</a:t>
            </a:r>
          </a:p>
        </c:rich>
      </c:tx>
      <c:layout>
        <c:manualLayout>
          <c:xMode val="edge"/>
          <c:yMode val="edge"/>
          <c:x val="0.23214366021386942"/>
          <c:y val="2.0907376579923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23802440751821E-2"/>
          <c:y val="6.2843227672362445E-2"/>
          <c:w val="0.85254193132921585"/>
          <c:h val="0.87823147629558862"/>
        </c:manualLayout>
      </c:layout>
      <c:scatterChart>
        <c:scatterStyle val="lineMarker"/>
        <c:varyColors val="0"/>
        <c:ser>
          <c:idx val="0"/>
          <c:order val="0"/>
          <c:tx>
            <c:v>HB2 phenanthrene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'[1]collated data - 2x13C plots'!$D$35</c:f>
              <c:numCache>
                <c:formatCode>General</c:formatCode>
                <c:ptCount val="1"/>
                <c:pt idx="0">
                  <c:v>-12.644453810510715</c:v>
                </c:pt>
              </c:numCache>
            </c:numRef>
          </c:xVal>
          <c:yVal>
            <c:numRef>
              <c:f>'[1]collated data - 2x13C plots'!$H$35</c:f>
              <c:numCache>
                <c:formatCode>General</c:formatCode>
                <c:ptCount val="1"/>
                <c:pt idx="0">
                  <c:v>9.9474919763632881E-3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9-834F-B332-F9D9761F1D4E}"/>
            </c:ext>
          </c:extLst>
        </c:ser>
        <c:ser>
          <c:idx val="2"/>
          <c:order val="1"/>
          <c:tx>
            <c:v>HB2 anthracene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'[1]collated data - 2x13C plots'!$D$36</c:f>
              <c:numCache>
                <c:formatCode>General</c:formatCode>
                <c:ptCount val="1"/>
                <c:pt idx="0">
                  <c:v>-16.713071237317468</c:v>
                </c:pt>
              </c:numCache>
            </c:numRef>
          </c:xVal>
          <c:yVal>
            <c:numRef>
              <c:f>'[1]collated data - 2x13C plots'!$H$36</c:f>
              <c:numCache>
                <c:formatCode>General</c:formatCode>
                <c:ptCount val="1"/>
                <c:pt idx="0">
                  <c:v>9.8029124096156682E-3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9-834F-B332-F9D9761F1D4E}"/>
            </c:ext>
          </c:extLst>
        </c:ser>
        <c:ser>
          <c:idx val="3"/>
          <c:order val="2"/>
          <c:tx>
            <c:v>Terrestrial anthracene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'[1]collated data - 2x13C plots'!$B$28</c:f>
              <c:numCache>
                <c:formatCode>General</c:formatCode>
                <c:ptCount val="1"/>
                <c:pt idx="0">
                  <c:v>-24.1</c:v>
                </c:pt>
              </c:numCache>
            </c:numRef>
          </c:xVal>
          <c:yVal>
            <c:numRef>
              <c:f>'[1]collated data - 2x13C plots'!$G$28</c:f>
              <c:numCache>
                <c:formatCode>General</c:formatCode>
                <c:ptCount val="1"/>
                <c:pt idx="0">
                  <c:v>9.7004838923684302E-3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69-834F-B332-F9D9761F1D4E}"/>
            </c:ext>
          </c:extLst>
        </c:ser>
        <c:ser>
          <c:idx val="4"/>
          <c:order val="3"/>
          <c:tx>
            <c:v>Terrestrial fractionation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'[1]collated data - 2x13C plots'!$A$10:$A$20</c:f>
              <c:numCache>
                <c:formatCode>General</c:formatCode>
                <c:ptCount val="11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-24</c:v>
                </c:pt>
                <c:pt idx="6">
                  <c:v>-25</c:v>
                </c:pt>
                <c:pt idx="7">
                  <c:v>-25.2</c:v>
                </c:pt>
                <c:pt idx="8">
                  <c:v>-30</c:v>
                </c:pt>
                <c:pt idx="9">
                  <c:v>-3.92</c:v>
                </c:pt>
                <c:pt idx="10">
                  <c:v>-11.81</c:v>
                </c:pt>
              </c:numCache>
            </c:numRef>
          </c:xVal>
          <c:yVal>
            <c:numRef>
              <c:f>'[1]collated data - 2x13C plots'!$K$10:$K$20</c:f>
              <c:numCache>
                <c:formatCode>General</c:formatCode>
                <c:ptCount val="11"/>
                <c:pt idx="0">
                  <c:v>1.0147777093712243E-2</c:v>
                </c:pt>
                <c:pt idx="1">
                  <c:v>1.0053894087297271E-2</c:v>
                </c:pt>
                <c:pt idx="2">
                  <c:v>9.9603770004868929E-3</c:v>
                </c:pt>
                <c:pt idx="3">
                  <c:v>9.8672267774389585E-3</c:v>
                </c:pt>
                <c:pt idx="4">
                  <c:v>9.7744443638728227E-3</c:v>
                </c:pt>
                <c:pt idx="5">
                  <c:v>9.7004838923684302E-3</c:v>
                </c:pt>
                <c:pt idx="6">
                  <c:v>9.6820307070715362E-3</c:v>
                </c:pt>
                <c:pt idx="7">
                  <c:v>9.6783418443554016E-3</c:v>
                </c:pt>
                <c:pt idx="8">
                  <c:v>9.5899867558841556E-3</c:v>
                </c:pt>
                <c:pt idx="9">
                  <c:v>1.0074141865912342E-2</c:v>
                </c:pt>
                <c:pt idx="10">
                  <c:v>9.9266142055022839E-3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69-834F-B332-F9D9761F1D4E}"/>
            </c:ext>
          </c:extLst>
        </c:ser>
        <c:ser>
          <c:idx val="1"/>
          <c:order val="4"/>
          <c:tx>
            <c:v>Terrestrial phenanthrene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'[1]collated data - 2x13C plots'!$B$27</c:f>
              <c:numCache>
                <c:formatCode>General</c:formatCode>
                <c:ptCount val="1"/>
                <c:pt idx="0">
                  <c:v>-24.4</c:v>
                </c:pt>
              </c:numCache>
            </c:numRef>
          </c:xVal>
          <c:yVal>
            <c:numRef>
              <c:f>'[1]collated data - 2x13C plots'!$G$27</c:f>
              <c:numCache>
                <c:formatCode>General</c:formatCode>
                <c:ptCount val="1"/>
                <c:pt idx="0">
                  <c:v>9.7004838923684302E-3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69-834F-B332-F9D9761F1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58399"/>
        <c:axId val="1883900063"/>
      </c:scatterChart>
      <c:valAx>
        <c:axId val="183415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0.47030683153184888"/>
              <c:y val="0.85694176575304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900063"/>
        <c:crossesAt val="0"/>
        <c:crossBetween val="midCat"/>
        <c:majorUnit val="5"/>
      </c:valAx>
      <c:valAx>
        <c:axId val="1883900063"/>
        <c:scaling>
          <c:orientation val="minMax"/>
          <c:max val="1.1000000000000003E-2"/>
          <c:min val="9.0000000000000028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13C212C12/12C14</a:t>
                </a:r>
              </a:p>
            </c:rich>
          </c:tx>
          <c:layout>
            <c:manualLayout>
              <c:xMode val="edge"/>
              <c:yMode val="edge"/>
              <c:x val="0.16323408635341"/>
              <c:y val="0.33177896822581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58399"/>
        <c:crossesAt val="-3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54073102308842047"/>
          <c:y val="0.61045632802691208"/>
          <c:w val="0.44880685978964185"/>
          <c:h val="0.29578912461373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napthalene</a:t>
            </a:r>
            <a:endParaRPr lang="en-US" baseline="0"/>
          </a:p>
        </c:rich>
      </c:tx>
      <c:layout>
        <c:manualLayout>
          <c:xMode val="edge"/>
          <c:yMode val="edge"/>
          <c:x val="0.44104094647745695"/>
          <c:y val="4.1738920480454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23606811069507E-2"/>
          <c:y val="2.3562658008680556E-2"/>
          <c:w val="0.85254193132921585"/>
          <c:h val="0.87823147629558862"/>
        </c:manualLayout>
      </c:layout>
      <c:scatterChart>
        <c:scatterStyle val="lineMarker"/>
        <c:varyColors val="0"/>
        <c:ser>
          <c:idx val="2"/>
          <c:order val="0"/>
          <c:tx>
            <c:v>HB2 napthalene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'[1]collated data - 2x13C plots'!$D$34</c:f>
              <c:numCache>
                <c:formatCode>General</c:formatCode>
                <c:ptCount val="1"/>
                <c:pt idx="0">
                  <c:v>-20.352243148830993</c:v>
                </c:pt>
              </c:numCache>
            </c:numRef>
          </c:xVal>
          <c:yVal>
            <c:numRef>
              <c:f>'[1]collated data - 2x13C plots'!$H$34</c:f>
              <c:numCache>
                <c:formatCode>General</c:formatCode>
                <c:ptCount val="1"/>
                <c:pt idx="0">
                  <c:v>5.3027082583757571E-3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82-2047-8308-B5DCB6A203D6}"/>
            </c:ext>
          </c:extLst>
        </c:ser>
        <c:ser>
          <c:idx val="3"/>
          <c:order val="1"/>
          <c:tx>
            <c:v>Terrestrial napthalene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'[1]collated data - 2x13C plots'!$B$26</c:f>
              <c:numCache>
                <c:formatCode>General</c:formatCode>
                <c:ptCount val="1"/>
                <c:pt idx="0">
                  <c:v>-23.8</c:v>
                </c:pt>
              </c:numCache>
            </c:numRef>
          </c:xVal>
          <c:yVal>
            <c:numRef>
              <c:f>'[1]collated data - 2x13C plots'!$G$26</c:f>
              <c:numCache>
                <c:formatCode>General</c:formatCode>
                <c:ptCount val="1"/>
                <c:pt idx="0">
                  <c:v>5.0133436816867678E-3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82-2047-8308-B5DCB6A203D6}"/>
            </c:ext>
          </c:extLst>
        </c:ser>
        <c:ser>
          <c:idx val="4"/>
          <c:order val="2"/>
          <c:tx>
            <c:v>Terrestrial fractionation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'[1]collated data - 2x13C plots'!$A$10:$A$20</c:f>
              <c:numCache>
                <c:formatCode>General</c:formatCode>
                <c:ptCount val="11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-24</c:v>
                </c:pt>
                <c:pt idx="6">
                  <c:v>-25</c:v>
                </c:pt>
                <c:pt idx="7">
                  <c:v>-25.2</c:v>
                </c:pt>
                <c:pt idx="8">
                  <c:v>-30</c:v>
                </c:pt>
                <c:pt idx="9">
                  <c:v>-3.92</c:v>
                </c:pt>
                <c:pt idx="10">
                  <c:v>-11.81</c:v>
                </c:pt>
              </c:numCache>
            </c:numRef>
          </c:xVal>
          <c:yVal>
            <c:numRef>
              <c:f>'[1]collated data - 2x13C plots'!$N$10:$N$20</c:f>
              <c:numCache>
                <c:formatCode>General</c:formatCode>
                <c:ptCount val="11"/>
                <c:pt idx="0">
                  <c:v>5.2501724127756964E-3</c:v>
                </c:pt>
                <c:pt idx="1">
                  <c:v>5.2004310748046349E-3</c:v>
                </c:pt>
                <c:pt idx="2">
                  <c:v>5.150900994252197E-3</c:v>
                </c:pt>
                <c:pt idx="3">
                  <c:v>5.1015825261389973E-3</c:v>
                </c:pt>
                <c:pt idx="4">
                  <c:v>5.0524760258977737E-3</c:v>
                </c:pt>
                <c:pt idx="5">
                  <c:v>5.0133436816867678E-3</c:v>
                </c:pt>
                <c:pt idx="6">
                  <c:v>5.0035818493737918E-3</c:v>
                </c:pt>
                <c:pt idx="7">
                  <c:v>5.0016305036836685E-3</c:v>
                </c:pt>
                <c:pt idx="8">
                  <c:v>4.954900352825301E-3</c:v>
                </c:pt>
                <c:pt idx="9">
                  <c:v>5.2111573283948488E-3</c:v>
                </c:pt>
                <c:pt idx="10">
                  <c:v>5.1330232535885334E-3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82-2047-8308-B5DCB6A20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58399"/>
        <c:axId val="1883900063"/>
      </c:scatterChart>
      <c:valAx>
        <c:axId val="183415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0.47030683153184888"/>
              <c:y val="0.85694176575304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900063"/>
        <c:crossesAt val="0"/>
        <c:crossBetween val="midCat"/>
        <c:majorUnit val="5"/>
      </c:valAx>
      <c:valAx>
        <c:axId val="1883900063"/>
        <c:scaling>
          <c:orientation val="minMax"/>
          <c:max val="6.0000000000000019E-3"/>
          <c:min val="4.000000000000001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13C212C8/12C10</a:t>
                </a:r>
              </a:p>
            </c:rich>
          </c:tx>
          <c:layout>
            <c:manualLayout>
              <c:xMode val="edge"/>
              <c:yMode val="edge"/>
              <c:x val="0.16323408635341"/>
              <c:y val="0.33177896822581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58399"/>
        <c:crossesAt val="-3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54073102308842047"/>
          <c:y val="0.61045632802691208"/>
          <c:w val="0.44880685978964185"/>
          <c:h val="0.29578912461373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42782738143298E-2"/>
          <c:y val="4.4051470322490092E-2"/>
          <c:w val="0.86179419754577635"/>
          <c:h val="0.94129132195805421"/>
        </c:manualLayout>
      </c:layout>
      <c:scatterChart>
        <c:scatterStyle val="lineMarker"/>
        <c:varyColors val="0"/>
        <c:ser>
          <c:idx val="0"/>
          <c:order val="0"/>
          <c:tx>
            <c:v>a106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'[1]collated data - 2x13C plots'!$C$34:$C$38</c:f>
                <c:numCache>
                  <c:formatCode>General</c:formatCode>
                  <c:ptCount val="5"/>
                  <c:pt idx="0">
                    <c:v>8.0008463184361229</c:v>
                  </c:pt>
                  <c:pt idx="1">
                    <c:v>5.1341941399899937</c:v>
                  </c:pt>
                  <c:pt idx="2">
                    <c:v>4.7588449033731104</c:v>
                  </c:pt>
                  <c:pt idx="3">
                    <c:v>3.1424566702089236</c:v>
                  </c:pt>
                  <c:pt idx="4">
                    <c:v>2.8741654051067829</c:v>
                  </c:pt>
                </c:numCache>
              </c:numRef>
            </c:plus>
            <c:minus>
              <c:numRef>
                <c:f>'[1]collated data - 2x13C plots'!$C$34:$C$38</c:f>
                <c:numCache>
                  <c:formatCode>General</c:formatCode>
                  <c:ptCount val="5"/>
                  <c:pt idx="0">
                    <c:v>8.0008463184361229</c:v>
                  </c:pt>
                  <c:pt idx="1">
                    <c:v>5.1341941399899937</c:v>
                  </c:pt>
                  <c:pt idx="2">
                    <c:v>4.7588449033731104</c:v>
                  </c:pt>
                  <c:pt idx="3">
                    <c:v>3.1424566702089236</c:v>
                  </c:pt>
                  <c:pt idx="4">
                    <c:v>2.8741654051067829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'[1]collated data - 2x13C plots'!$A$34:$A$38</c:f>
              <c:strCache>
                <c:ptCount val="5"/>
                <c:pt idx="0">
                  <c:v>Napthalene</c:v>
                </c:pt>
                <c:pt idx="1">
                  <c:v>Phenanthrene</c:v>
                </c:pt>
                <c:pt idx="2">
                  <c:v>Anthracene</c:v>
                </c:pt>
                <c:pt idx="3">
                  <c:v>Fluoranthene</c:v>
                </c:pt>
                <c:pt idx="4">
                  <c:v>Pyrene</c:v>
                </c:pt>
              </c:strCache>
            </c:strRef>
          </c:xVal>
          <c:yVal>
            <c:numRef>
              <c:f>'[1]collated data - 2x13C plots'!$B$34:$B$38</c:f>
              <c:numCache>
                <c:formatCode>General</c:formatCode>
                <c:ptCount val="5"/>
                <c:pt idx="0">
                  <c:v>-39.216306675088461</c:v>
                </c:pt>
                <c:pt idx="1">
                  <c:v>-0.11257645158002649</c:v>
                </c:pt>
                <c:pt idx="2">
                  <c:v>-2.5596859117702486</c:v>
                </c:pt>
                <c:pt idx="3">
                  <c:v>-17.832801774581462</c:v>
                </c:pt>
                <c:pt idx="4">
                  <c:v>-32.246496689373181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05-9C4B-BCB0-B76335507D09}"/>
            </c:ext>
          </c:extLst>
        </c:ser>
        <c:ser>
          <c:idx val="1"/>
          <c:order val="1"/>
          <c:tx>
            <c:v>c107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'[1]collated data - 2x13C plots'!$E$34:$E$38</c:f>
                <c:numCache>
                  <c:formatCode>General</c:formatCode>
                  <c:ptCount val="5"/>
                  <c:pt idx="0">
                    <c:v>4.9045746326710198</c:v>
                  </c:pt>
                  <c:pt idx="1">
                    <c:v>4.1910226162314439</c:v>
                  </c:pt>
                  <c:pt idx="2">
                    <c:v>4.5140102784322647</c:v>
                  </c:pt>
                  <c:pt idx="3">
                    <c:v>2.5416762408600606</c:v>
                  </c:pt>
                  <c:pt idx="4">
                    <c:v>2.1149845144850712</c:v>
                  </c:pt>
                </c:numCache>
              </c:numRef>
            </c:plus>
            <c:minus>
              <c:numRef>
                <c:f>'[1]collated data - 2x13C plots'!$E$34:$E$38</c:f>
                <c:numCache>
                  <c:formatCode>General</c:formatCode>
                  <c:ptCount val="5"/>
                  <c:pt idx="0">
                    <c:v>4.9045746326710198</c:v>
                  </c:pt>
                  <c:pt idx="1">
                    <c:v>4.1910226162314439</c:v>
                  </c:pt>
                  <c:pt idx="2">
                    <c:v>4.5140102784322647</c:v>
                  </c:pt>
                  <c:pt idx="3">
                    <c:v>2.5416762408600606</c:v>
                  </c:pt>
                  <c:pt idx="4">
                    <c:v>2.1149845144850712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'[1]collated data - 2x13C plots'!$A$34:$A$38</c:f>
              <c:strCache>
                <c:ptCount val="5"/>
                <c:pt idx="0">
                  <c:v>Napthalene</c:v>
                </c:pt>
                <c:pt idx="1">
                  <c:v>Phenanthrene</c:v>
                </c:pt>
                <c:pt idx="2">
                  <c:v>Anthracene</c:v>
                </c:pt>
                <c:pt idx="3">
                  <c:v>Fluoranthene</c:v>
                </c:pt>
                <c:pt idx="4">
                  <c:v>Pyrene</c:v>
                </c:pt>
              </c:strCache>
            </c:strRef>
          </c:xVal>
          <c:yVal>
            <c:numRef>
              <c:f>'[1]collated data - 2x13C plots'!$D$34:$D$38</c:f>
              <c:numCache>
                <c:formatCode>General</c:formatCode>
                <c:ptCount val="5"/>
                <c:pt idx="0">
                  <c:v>-20.352243148830993</c:v>
                </c:pt>
                <c:pt idx="1">
                  <c:v>-12.644453810510715</c:v>
                </c:pt>
                <c:pt idx="2">
                  <c:v>-16.713071237317468</c:v>
                </c:pt>
                <c:pt idx="3">
                  <c:v>-17.106026968804812</c:v>
                </c:pt>
                <c:pt idx="4">
                  <c:v>-23.633026104479924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05-9C4B-BCB0-B76335507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316592"/>
        <c:axId val="1439505632"/>
      </c:scatterChart>
      <c:valAx>
        <c:axId val="148131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05632"/>
        <c:crosses val="autoZero"/>
        <c:crossBetween val="midCat"/>
      </c:valAx>
      <c:valAx>
        <c:axId val="1439505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31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fluoranthene and pyrene</a:t>
            </a:r>
          </a:p>
        </c:rich>
      </c:tx>
      <c:layout>
        <c:manualLayout>
          <c:xMode val="edge"/>
          <c:yMode val="edge"/>
          <c:x val="0.317662529637327"/>
          <c:y val="2.9288702928870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040868913550079E-2"/>
          <c:y val="6.2843162461835134E-2"/>
          <c:w val="0.85254193132921585"/>
          <c:h val="0.87823147629558862"/>
        </c:manualLayout>
      </c:layout>
      <c:scatterChart>
        <c:scatterStyle val="lineMarker"/>
        <c:varyColors val="0"/>
        <c:ser>
          <c:idx val="0"/>
          <c:order val="0"/>
          <c:tx>
            <c:v>HB2 pyrene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326-BA49-9D6F-4B7EBD9CD352}"/>
              </c:ext>
            </c:extLst>
          </c:dPt>
          <c:xVal>
            <c:numRef>
              <c:f>'[1]collated data - 2x13C plots'!$D$38</c:f>
              <c:numCache>
                <c:formatCode>General</c:formatCode>
                <c:ptCount val="1"/>
                <c:pt idx="0">
                  <c:v>-23.633026104479924</c:v>
                </c:pt>
              </c:numCache>
            </c:numRef>
          </c:xVal>
          <c:yVal>
            <c:numRef>
              <c:f>'[1]collated data - 2x13C plots'!$H$38</c:f>
              <c:numCache>
                <c:formatCode>General</c:formatCode>
                <c:ptCount val="1"/>
                <c:pt idx="0">
                  <c:v>1.2785175667701274E-2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26-BA49-9D6F-4B7EBD9CD352}"/>
            </c:ext>
          </c:extLst>
        </c:ser>
        <c:ser>
          <c:idx val="2"/>
          <c:order val="1"/>
          <c:tx>
            <c:v>HB2 fluoranthene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'[1]collated data - 2x13C plots'!$D$37</c:f>
              <c:numCache>
                <c:formatCode>General</c:formatCode>
                <c:ptCount val="1"/>
                <c:pt idx="0">
                  <c:v>-17.106026968804812</c:v>
                </c:pt>
              </c:numCache>
            </c:numRef>
          </c:xVal>
          <c:yVal>
            <c:numRef>
              <c:f>'[1]collated data - 2x13C plots'!$H$37</c:f>
              <c:numCache>
                <c:formatCode>General</c:formatCode>
                <c:ptCount val="1"/>
                <c:pt idx="0">
                  <c:v>1.2851022838155073E-2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26-BA49-9D6F-4B7EBD9CD352}"/>
            </c:ext>
          </c:extLst>
        </c:ser>
        <c:ser>
          <c:idx val="3"/>
          <c:order val="2"/>
          <c:tx>
            <c:v>Terrestrial fluoranthene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'[1]collated data - 2x13C plots'!$B$29</c:f>
              <c:numCache>
                <c:formatCode>General</c:formatCode>
                <c:ptCount val="1"/>
                <c:pt idx="0">
                  <c:v>-24.2</c:v>
                </c:pt>
              </c:numCache>
            </c:numRef>
          </c:xVal>
          <c:yVal>
            <c:numRef>
              <c:f>'[1]collated data - 2x13C plots'!$G$29</c:f>
              <c:numCache>
                <c:formatCode>General</c:formatCode>
                <c:ptCount val="1"/>
                <c:pt idx="0">
                  <c:v>1.2484496970401127E-2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26-BA49-9D6F-4B7EBD9CD352}"/>
            </c:ext>
          </c:extLst>
        </c:ser>
        <c:ser>
          <c:idx val="4"/>
          <c:order val="3"/>
          <c:tx>
            <c:v>Terrestrial fractionation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'[1]collated data - 2x13C plots'!$A$10:$A$20</c:f>
              <c:numCache>
                <c:formatCode>General</c:formatCode>
                <c:ptCount val="11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-24</c:v>
                </c:pt>
                <c:pt idx="6">
                  <c:v>-25</c:v>
                </c:pt>
                <c:pt idx="7">
                  <c:v>-25.2</c:v>
                </c:pt>
                <c:pt idx="8">
                  <c:v>-30</c:v>
                </c:pt>
                <c:pt idx="9">
                  <c:v>-3.92</c:v>
                </c:pt>
                <c:pt idx="10">
                  <c:v>-11.81</c:v>
                </c:pt>
              </c:numCache>
            </c:numRef>
          </c:xVal>
          <c:yVal>
            <c:numRef>
              <c:f>'[1]collated data - 2x13C plots'!$H$10:$H$20</c:f>
              <c:numCache>
                <c:formatCode>General</c:formatCode>
                <c:ptCount val="11"/>
                <c:pt idx="0">
                  <c:v>1.3082628526600283E-2</c:v>
                </c:pt>
                <c:pt idx="1">
                  <c:v>1.2963050140246032E-2</c:v>
                </c:pt>
                <c:pt idx="2">
                  <c:v>1.2843916646688725E-2</c:v>
                </c:pt>
                <c:pt idx="3">
                  <c:v>1.2725229415833443E-2</c:v>
                </c:pt>
                <c:pt idx="4">
                  <c:v>1.2606989820198332E-2</c:v>
                </c:pt>
                <c:pt idx="5">
                  <c:v>1.2512721365051733E-2</c:v>
                </c:pt>
                <c:pt idx="6">
                  <c:v>1.2489199234918811E-2</c:v>
                </c:pt>
                <c:pt idx="7">
                  <c:v>1.2484496970401127E-2</c:v>
                </c:pt>
                <c:pt idx="8">
                  <c:v>1.237185903775195E-2</c:v>
                </c:pt>
                <c:pt idx="9">
                  <c:v>1.2988841448701686E-2</c:v>
                </c:pt>
                <c:pt idx="10">
                  <c:v>1.2800900263693923E-2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26-BA49-9D6F-4B7EBD9CD352}"/>
            </c:ext>
          </c:extLst>
        </c:ser>
        <c:ser>
          <c:idx val="1"/>
          <c:order val="4"/>
          <c:tx>
            <c:v>Terrestrial pyrene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'[1]collated data - 2x13C plots'!$B$30</c:f>
              <c:numCache>
                <c:formatCode>General</c:formatCode>
                <c:ptCount val="1"/>
                <c:pt idx="0">
                  <c:v>-25.2</c:v>
                </c:pt>
              </c:numCache>
            </c:numRef>
          </c:xVal>
          <c:yVal>
            <c:numRef>
              <c:f>'[1]collated data - 2x13C plots'!$G$30</c:f>
              <c:numCache>
                <c:formatCode>General</c:formatCode>
                <c:ptCount val="1"/>
                <c:pt idx="0">
                  <c:v>1.2484496970401127E-2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26-BA49-9D6F-4B7EBD9CD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58399"/>
        <c:axId val="1883900063"/>
      </c:scatterChart>
      <c:valAx>
        <c:axId val="183415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0.47946945525861312"/>
              <c:y val="0.898847560372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900063"/>
        <c:crossesAt val="1.1800000000000003E-2"/>
        <c:crossBetween val="midCat"/>
        <c:majorUnit val="5"/>
      </c:valAx>
      <c:valAx>
        <c:axId val="18839000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13C212C14/12C16</a:t>
                </a:r>
              </a:p>
            </c:rich>
          </c:tx>
          <c:layout>
            <c:manualLayout>
              <c:xMode val="edge"/>
              <c:yMode val="edge"/>
              <c:x val="0.18155956562361342"/>
              <c:y val="0.29406372654964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58399"/>
        <c:crossesAt val="-3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63235850896734391"/>
          <c:y val="0.57274112164550861"/>
          <c:w val="0.35717950149848288"/>
          <c:h val="0.3209327680193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492053</xdr:colOff>
      <xdr:row>46</xdr:row>
      <xdr:rowOff>171599</xdr:rowOff>
    </xdr:from>
    <xdr:to>
      <xdr:col>11</xdr:col>
      <xdr:colOff>731689</xdr:colOff>
      <xdr:row>61</xdr:row>
      <xdr:rowOff>199759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6D1EE6-B4B7-254D-A4BA-918393218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230038</xdr:colOff>
      <xdr:row>46</xdr:row>
      <xdr:rowOff>137080</xdr:rowOff>
    </xdr:from>
    <xdr:to>
      <xdr:col>7</xdr:col>
      <xdr:colOff>950900</xdr:colOff>
      <xdr:row>61</xdr:row>
      <xdr:rowOff>165240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961CD8-6311-F246-93F5-2FE6F9DD2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46</xdr:row>
      <xdr:rowOff>132893</xdr:rowOff>
    </xdr:from>
    <xdr:to>
      <xdr:col>2</xdr:col>
      <xdr:colOff>758904</xdr:colOff>
      <xdr:row>61</xdr:row>
      <xdr:rowOff>157509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4F6B5C-951B-C44E-8C2A-A531145BB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209515</xdr:colOff>
      <xdr:row>47</xdr:row>
      <xdr:rowOff>8134</xdr:rowOff>
    </xdr:from>
    <xdr:to>
      <xdr:col>21</xdr:col>
      <xdr:colOff>125881</xdr:colOff>
      <xdr:row>70</xdr:row>
      <xdr:rowOff>90201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680897-17A1-5741-A093-9863234A6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492053</xdr:colOff>
      <xdr:row>40</xdr:row>
      <xdr:rowOff>171599</xdr:rowOff>
    </xdr:from>
    <xdr:to>
      <xdr:col>11</xdr:col>
      <xdr:colOff>731689</xdr:colOff>
      <xdr:row>55</xdr:row>
      <xdr:rowOff>199759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B7E13C-F22B-DB43-A991-6B900E23B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230038</xdr:colOff>
      <xdr:row>40</xdr:row>
      <xdr:rowOff>137080</xdr:rowOff>
    </xdr:from>
    <xdr:to>
      <xdr:col>7</xdr:col>
      <xdr:colOff>950900</xdr:colOff>
      <xdr:row>55</xdr:row>
      <xdr:rowOff>165240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17B889-1A94-B44E-A414-D4FB136B2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40</xdr:row>
      <xdr:rowOff>132893</xdr:rowOff>
    </xdr:from>
    <xdr:to>
      <xdr:col>2</xdr:col>
      <xdr:colOff>758904</xdr:colOff>
      <xdr:row>55</xdr:row>
      <xdr:rowOff>157509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FB26E6-CC90-F64D-8A5D-AC7199BB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185542</xdr:colOff>
      <xdr:row>39</xdr:row>
      <xdr:rowOff>12700</xdr:rowOff>
    </xdr:from>
    <xdr:to>
      <xdr:col>21</xdr:col>
      <xdr:colOff>101908</xdr:colOff>
      <xdr:row>62</xdr:row>
      <xdr:rowOff>98192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BB7716-EFED-F64B-826E-6163EB6FC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492053</xdr:colOff>
      <xdr:row>40</xdr:row>
      <xdr:rowOff>171599</xdr:rowOff>
    </xdr:from>
    <xdr:to>
      <xdr:col>11</xdr:col>
      <xdr:colOff>731689</xdr:colOff>
      <xdr:row>55</xdr:row>
      <xdr:rowOff>199759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27F55E-DAA8-3548-A76E-016503600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230038</xdr:colOff>
      <xdr:row>40</xdr:row>
      <xdr:rowOff>137080</xdr:rowOff>
    </xdr:from>
    <xdr:to>
      <xdr:col>7</xdr:col>
      <xdr:colOff>950900</xdr:colOff>
      <xdr:row>55</xdr:row>
      <xdr:rowOff>165240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B4FDF4-8CF5-294A-A5E4-B951FED03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40</xdr:row>
      <xdr:rowOff>132893</xdr:rowOff>
    </xdr:from>
    <xdr:to>
      <xdr:col>2</xdr:col>
      <xdr:colOff>758904</xdr:colOff>
      <xdr:row>55</xdr:row>
      <xdr:rowOff>157509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4ABFDD-820B-254E-BD9B-1AF754D77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337942</xdr:colOff>
      <xdr:row>40</xdr:row>
      <xdr:rowOff>165100</xdr:rowOff>
    </xdr:from>
    <xdr:to>
      <xdr:col>21</xdr:col>
      <xdr:colOff>254308</xdr:colOff>
      <xdr:row>64</xdr:row>
      <xdr:rowOff>47392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7EB554-099C-EA47-BAD0-AA3729D56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ltech-my.sharepoint.com/Users/sarahzeichner/Documents/Caltech/Research/Hayabusa2/HB2_data_processed_0729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terature PAHs - d13C"/>
      <sheetName val="literature PAHs - dD"/>
      <sheetName val="literature - met abundance-abs"/>
      <sheetName val="literature - met abundance- rel"/>
      <sheetName val="literature - met abundance -all"/>
      <sheetName val="collated data - abundance (ppb)"/>
      <sheetName val="collated data - 4262022 - s (2)"/>
      <sheetName val="wy-sif-dDvalues"/>
      <sheetName val="collated data - 2x13C plots (2)"/>
      <sheetName val="collated data - 4262022 - stats"/>
      <sheetName val="collated data - 2x13C plots"/>
      <sheetName val="collated data - 426202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09">
          <cell r="S109">
            <v>9.5019803987612048E-3</v>
          </cell>
          <cell r="T109">
            <v>4.5585766615958969E-3</v>
          </cell>
          <cell r="AD109">
            <v>9.5016990107643518E-3</v>
          </cell>
          <cell r="AE109">
            <v>4.3308090064732218E-3</v>
          </cell>
          <cell r="AO109">
            <v>1.2243663544170075E-2</v>
          </cell>
          <cell r="AP109">
            <v>2.5481018425751612E-3</v>
          </cell>
          <cell r="AZ109">
            <v>1.2244172031591444E-2</v>
          </cell>
          <cell r="BA109">
            <v>2.3233953224474041E-3</v>
          </cell>
        </row>
      </sheetData>
      <sheetData sheetId="7" refreshError="1"/>
      <sheetData sheetId="8" refreshError="1"/>
      <sheetData sheetId="9" refreshError="1"/>
      <sheetData sheetId="10" refreshError="1">
        <row r="10">
          <cell r="A10">
            <v>0</v>
          </cell>
          <cell r="H10">
            <v>1.3082628526600283E-2</v>
          </cell>
          <cell r="K10">
            <v>1.0147777093712243E-2</v>
          </cell>
          <cell r="N10">
            <v>5.2501724127756964E-3</v>
          </cell>
        </row>
        <row r="11">
          <cell r="A11">
            <v>-5</v>
          </cell>
          <cell r="H11">
            <v>1.2963050140246032E-2</v>
          </cell>
          <cell r="K11">
            <v>1.0053894087297271E-2</v>
          </cell>
          <cell r="N11">
            <v>5.2004310748046349E-3</v>
          </cell>
        </row>
        <row r="12">
          <cell r="A12">
            <v>-10</v>
          </cell>
          <cell r="H12">
            <v>1.2843916646688725E-2</v>
          </cell>
          <cell r="K12">
            <v>9.9603770004868929E-3</v>
          </cell>
          <cell r="N12">
            <v>5.150900994252197E-3</v>
          </cell>
        </row>
        <row r="13">
          <cell r="A13">
            <v>-15</v>
          </cell>
          <cell r="H13">
            <v>1.2725229415833443E-2</v>
          </cell>
          <cell r="K13">
            <v>9.8672267774389585E-3</v>
          </cell>
          <cell r="N13">
            <v>5.1015825261389973E-3</v>
          </cell>
        </row>
        <row r="14">
          <cell r="A14">
            <v>-20</v>
          </cell>
          <cell r="H14">
            <v>1.2606989820198332E-2</v>
          </cell>
          <cell r="K14">
            <v>9.7744443638728227E-3</v>
          </cell>
          <cell r="N14">
            <v>5.0524760258977737E-3</v>
          </cell>
        </row>
        <row r="15">
          <cell r="A15">
            <v>-24</v>
          </cell>
          <cell r="H15">
            <v>1.2512721365051733E-2</v>
          </cell>
          <cell r="K15">
            <v>9.7004838923684302E-3</v>
          </cell>
          <cell r="N15">
            <v>5.0133436816867678E-3</v>
          </cell>
        </row>
        <row r="16">
          <cell r="A16">
            <v>-25</v>
          </cell>
          <cell r="H16">
            <v>1.2489199234918811E-2</v>
          </cell>
          <cell r="K16">
            <v>9.6820307070715362E-3</v>
          </cell>
          <cell r="N16">
            <v>5.0035818493737918E-3</v>
          </cell>
        </row>
        <row r="17">
          <cell r="A17">
            <v>-25.2</v>
          </cell>
          <cell r="H17">
            <v>1.2484496970401127E-2</v>
          </cell>
          <cell r="K17">
            <v>9.6783418443554016E-3</v>
          </cell>
          <cell r="N17">
            <v>5.0016305036836685E-3</v>
          </cell>
        </row>
        <row r="18">
          <cell r="A18">
            <v>-30</v>
          </cell>
          <cell r="H18">
            <v>1.237185903775195E-2</v>
          </cell>
          <cell r="K18">
            <v>9.5899867558841556E-3</v>
          </cell>
          <cell r="N18">
            <v>4.954900352825301E-3</v>
          </cell>
        </row>
        <row r="19">
          <cell r="A19">
            <v>-3.92</v>
          </cell>
          <cell r="H19">
            <v>1.2988841448701686E-2</v>
          </cell>
          <cell r="K19">
            <v>1.0074141865912342E-2</v>
          </cell>
          <cell r="N19">
            <v>5.2111573283948488E-3</v>
          </cell>
        </row>
        <row r="20">
          <cell r="A20">
            <v>-11.81</v>
          </cell>
          <cell r="H20">
            <v>1.2800900263693923E-2</v>
          </cell>
          <cell r="K20">
            <v>9.9266142055022839E-3</v>
          </cell>
          <cell r="N20">
            <v>5.1330232535885334E-3</v>
          </cell>
        </row>
        <row r="26">
          <cell r="B26">
            <v>-23.8</v>
          </cell>
          <cell r="G26">
            <v>5.0133436816867678E-3</v>
          </cell>
        </row>
        <row r="27">
          <cell r="B27">
            <v>-24.4</v>
          </cell>
          <cell r="G27">
            <v>9.7004838923684302E-3</v>
          </cell>
        </row>
        <row r="28">
          <cell r="B28">
            <v>-24.1</v>
          </cell>
          <cell r="G28">
            <v>9.7004838923684302E-3</v>
          </cell>
        </row>
        <row r="29">
          <cell r="B29">
            <v>-24.2</v>
          </cell>
          <cell r="G29">
            <v>1.2484496970401127E-2</v>
          </cell>
        </row>
        <row r="30">
          <cell r="B30">
            <v>-25.2</v>
          </cell>
          <cell r="G30">
            <v>1.2484496970401127E-2</v>
          </cell>
        </row>
        <row r="34">
          <cell r="A34" t="str">
            <v>Napthalene</v>
          </cell>
          <cell r="B34">
            <v>-39.216306675088461</v>
          </cell>
          <cell r="C34">
            <v>8.0008463184361229</v>
          </cell>
          <cell r="D34">
            <v>-20.352243148830993</v>
          </cell>
          <cell r="E34">
            <v>4.9045746326710198</v>
          </cell>
          <cell r="H34">
            <v>5.3027082583757571E-3</v>
          </cell>
        </row>
        <row r="35">
          <cell r="A35" t="str">
            <v>Phenanthrene</v>
          </cell>
          <cell r="B35">
            <v>-0.11257645158002649</v>
          </cell>
          <cell r="C35">
            <v>5.1341941399899937</v>
          </cell>
          <cell r="D35">
            <v>-12.644453810510715</v>
          </cell>
          <cell r="E35">
            <v>4.1910226162314439</v>
          </cell>
          <cell r="H35">
            <v>9.9474919763632881E-3</v>
          </cell>
        </row>
        <row r="36">
          <cell r="A36" t="str">
            <v>Anthracene</v>
          </cell>
          <cell r="B36">
            <v>-2.5596859117702486</v>
          </cell>
          <cell r="C36">
            <v>4.7588449033731104</v>
          </cell>
          <cell r="D36">
            <v>-16.713071237317468</v>
          </cell>
          <cell r="E36">
            <v>4.5140102784322647</v>
          </cell>
          <cell r="H36">
            <v>9.8029124096156682E-3</v>
          </cell>
        </row>
        <row r="37">
          <cell r="A37" t="str">
            <v>Fluoranthene</v>
          </cell>
          <cell r="B37">
            <v>-17.832801774581462</v>
          </cell>
          <cell r="C37">
            <v>3.1424566702089236</v>
          </cell>
          <cell r="D37">
            <v>-17.106026968804812</v>
          </cell>
          <cell r="E37">
            <v>2.5416762408600606</v>
          </cell>
          <cell r="H37">
            <v>1.2851022838155073E-2</v>
          </cell>
        </row>
        <row r="38">
          <cell r="A38" t="str">
            <v>Pyrene</v>
          </cell>
          <cell r="B38">
            <v>-32.246496689373181</v>
          </cell>
          <cell r="C38">
            <v>2.8741654051067829</v>
          </cell>
          <cell r="D38">
            <v>-23.633026104479924</v>
          </cell>
          <cell r="E38">
            <v>2.1149845144850712</v>
          </cell>
          <cell r="H38">
            <v>1.2785175667701274E-2</v>
          </cell>
        </row>
      </sheetData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B61B3-AE06-0644-9ACF-29706FA37CF9}">
  <dimension ref="A1:BE45"/>
  <sheetViews>
    <sheetView topLeftCell="A10" zoomScale="110" zoomScaleNormal="110" workbookViewId="0">
      <selection activeCell="F45" sqref="F45"/>
    </sheetView>
  </sheetViews>
  <sheetFormatPr baseColWidth="10" defaultRowHeight="16"/>
  <cols>
    <col min="1" max="1" width="121.6640625" customWidth="1"/>
    <col min="3" max="3" width="12.33203125" customWidth="1"/>
    <col min="15" max="15" width="122.6640625" customWidth="1"/>
    <col min="30" max="30" width="122.1640625" customWidth="1"/>
    <col min="32" max="32" width="13.5" customWidth="1"/>
    <col min="33" max="33" width="20.5" customWidth="1"/>
    <col min="45" max="45" width="146.83203125" customWidth="1"/>
    <col min="47" max="47" width="13.33203125" customWidth="1"/>
  </cols>
  <sheetData>
    <row r="1" spans="1:57" ht="24">
      <c r="A1" s="3" t="s">
        <v>254</v>
      </c>
      <c r="B1" s="3" t="s">
        <v>21</v>
      </c>
      <c r="D1" s="43">
        <f>'2x13C computation-v1'!B27</f>
        <v>-24.4</v>
      </c>
      <c r="E1" s="43">
        <f>'2x13C computation-v1'!C27</f>
        <v>0.56000000000000005</v>
      </c>
      <c r="P1" s="3" t="s">
        <v>68</v>
      </c>
      <c r="R1" s="43">
        <f>'2x13C computation-v1'!B28</f>
        <v>-24.1</v>
      </c>
      <c r="S1" s="43">
        <f>'2x13C computation-v1'!C28</f>
        <v>0.46</v>
      </c>
      <c r="AE1" s="6" t="s">
        <v>29</v>
      </c>
      <c r="AG1" s="43">
        <f>'2x13C computation-v1'!B29</f>
        <v>-24.2</v>
      </c>
      <c r="AH1" s="43">
        <f>'2x13C computation-v1'!C29</f>
        <v>0.42</v>
      </c>
      <c r="AU1" s="6" t="s">
        <v>30</v>
      </c>
      <c r="AV1" s="43">
        <f>'2x13C computation-v1'!B30</f>
        <v>-25.2</v>
      </c>
      <c r="AW1" s="43">
        <f>'2x13C computation-v1'!C30</f>
        <v>0.49</v>
      </c>
    </row>
    <row r="3" spans="1:57" s="4" customFormat="1" ht="24">
      <c r="A3" s="5" t="s">
        <v>22</v>
      </c>
    </row>
    <row r="4" spans="1:57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O4" s="1" t="s">
        <v>0</v>
      </c>
      <c r="P4" s="1" t="s">
        <v>1</v>
      </c>
      <c r="Q4" s="1" t="s">
        <v>2</v>
      </c>
      <c r="R4" s="1" t="s">
        <v>3</v>
      </c>
      <c r="S4" s="1" t="s">
        <v>4</v>
      </c>
      <c r="T4" s="1" t="s">
        <v>5</v>
      </c>
      <c r="U4" s="1" t="s">
        <v>6</v>
      </c>
      <c r="V4" s="1" t="s">
        <v>7</v>
      </c>
      <c r="W4" s="1" t="s">
        <v>8</v>
      </c>
      <c r="X4" s="1" t="s">
        <v>9</v>
      </c>
      <c r="Y4" s="1" t="s">
        <v>10</v>
      </c>
      <c r="Z4" s="1" t="s">
        <v>11</v>
      </c>
      <c r="AA4" s="1" t="s">
        <v>12</v>
      </c>
      <c r="AD4" s="1" t="s">
        <v>0</v>
      </c>
      <c r="AE4" s="1" t="s">
        <v>1</v>
      </c>
      <c r="AF4" s="1" t="s">
        <v>2</v>
      </c>
      <c r="AG4" s="1" t="s">
        <v>3</v>
      </c>
      <c r="AH4" s="1" t="s">
        <v>4</v>
      </c>
      <c r="AI4" s="1" t="s">
        <v>5</v>
      </c>
      <c r="AJ4" s="1" t="s">
        <v>6</v>
      </c>
      <c r="AK4" s="1" t="s">
        <v>7</v>
      </c>
      <c r="AL4" s="1" t="s">
        <v>8</v>
      </c>
      <c r="AM4" s="1" t="s">
        <v>9</v>
      </c>
      <c r="AN4" s="1" t="s">
        <v>10</v>
      </c>
      <c r="AO4" s="1" t="s">
        <v>11</v>
      </c>
      <c r="AP4" s="1" t="s">
        <v>12</v>
      </c>
      <c r="AS4" s="1" t="s">
        <v>0</v>
      </c>
      <c r="AT4" s="1" t="s">
        <v>1</v>
      </c>
      <c r="AU4" s="1" t="s">
        <v>2</v>
      </c>
      <c r="AV4" s="1" t="s">
        <v>3</v>
      </c>
      <c r="AW4" s="1" t="s">
        <v>4</v>
      </c>
      <c r="AX4" s="1" t="s">
        <v>5</v>
      </c>
      <c r="AY4" s="1" t="s">
        <v>6</v>
      </c>
      <c r="AZ4" s="1" t="s">
        <v>7</v>
      </c>
      <c r="BA4" s="1" t="s">
        <v>8</v>
      </c>
      <c r="BB4" s="1" t="s">
        <v>9</v>
      </c>
      <c r="BC4" s="1" t="s">
        <v>10</v>
      </c>
      <c r="BD4" s="1" t="s">
        <v>11</v>
      </c>
      <c r="BE4" s="1" t="s">
        <v>12</v>
      </c>
    </row>
    <row r="5" spans="1:57">
      <c r="A5" s="1" t="s">
        <v>70</v>
      </c>
      <c r="B5" s="2">
        <v>178</v>
      </c>
      <c r="C5" s="2" t="s">
        <v>14</v>
      </c>
      <c r="D5" s="2">
        <v>0.14751408891621101</v>
      </c>
      <c r="E5" s="2">
        <v>0.14856863597209899</v>
      </c>
      <c r="F5" s="2">
        <v>5.3123181459652303E-3</v>
      </c>
      <c r="G5" s="2">
        <v>4.6592112310290499E-4</v>
      </c>
      <c r="H5" s="2">
        <v>3.1360665059239402E-3</v>
      </c>
      <c r="I5" s="2">
        <v>0.980134237524111</v>
      </c>
      <c r="J5" s="2">
        <v>0.38172810628632098</v>
      </c>
      <c r="K5" s="2">
        <v>115675.238461538</v>
      </c>
      <c r="L5" s="2">
        <v>1264151.4771650899</v>
      </c>
      <c r="M5" s="2">
        <v>2.65730691405569E-3</v>
      </c>
      <c r="O5" s="1" t="s">
        <v>70</v>
      </c>
      <c r="P5" s="2">
        <v>178</v>
      </c>
      <c r="Q5" s="2" t="s">
        <v>14</v>
      </c>
      <c r="R5" s="2">
        <v>0.14862650900287699</v>
      </c>
      <c r="S5" s="2">
        <v>0.14914359741234101</v>
      </c>
      <c r="T5" s="2">
        <v>5.4032843596689799E-3</v>
      </c>
      <c r="U5" s="2">
        <v>3.5628201989705799E-4</v>
      </c>
      <c r="V5" s="2">
        <v>2.3888522610329499E-3</v>
      </c>
      <c r="W5" s="2">
        <v>0.97724510161644196</v>
      </c>
      <c r="X5" s="2">
        <v>5.1931970974931602E-2</v>
      </c>
      <c r="Y5" s="2">
        <v>114361.856521739</v>
      </c>
      <c r="Z5" s="2">
        <v>2257762.74437164</v>
      </c>
      <c r="AA5" s="2">
        <v>1.98285768735207E-3</v>
      </c>
      <c r="AD5" s="1" t="s">
        <v>77</v>
      </c>
      <c r="AE5" s="2">
        <v>202</v>
      </c>
      <c r="AF5" s="2" t="s">
        <v>14</v>
      </c>
      <c r="AG5" s="2">
        <v>0.16970601868056401</v>
      </c>
      <c r="AH5" s="2">
        <v>0.17007382317415701</v>
      </c>
      <c r="AI5" s="2">
        <v>6.7506722746997804E-3</v>
      </c>
      <c r="AJ5" s="2">
        <v>6.6516350395536396E-4</v>
      </c>
      <c r="AK5" s="2">
        <v>3.9110281143867201E-3</v>
      </c>
      <c r="AL5" s="2">
        <v>0.859909727098503</v>
      </c>
      <c r="AM5" s="2">
        <v>7.0494134347282397E-2</v>
      </c>
      <c r="AN5" s="2">
        <v>109723.40776699</v>
      </c>
      <c r="AO5" s="2">
        <v>898548.78082817502</v>
      </c>
      <c r="AP5" s="2">
        <v>2.99541687726588E-3</v>
      </c>
      <c r="AS5" s="1" t="s">
        <v>77</v>
      </c>
      <c r="AT5" s="2">
        <v>202</v>
      </c>
      <c r="AU5" s="2" t="s">
        <v>14</v>
      </c>
      <c r="AV5" s="2">
        <v>0.166964411554193</v>
      </c>
      <c r="AW5" s="2">
        <v>0.16739220555451301</v>
      </c>
      <c r="AX5" s="2">
        <v>6.2871751701492496E-3</v>
      </c>
      <c r="AY5" s="2">
        <v>6.6272645287094299E-4</v>
      </c>
      <c r="AZ5" s="2">
        <v>3.9591237278674904E-3</v>
      </c>
      <c r="BA5" s="2">
        <v>0.82967870546866795</v>
      </c>
      <c r="BB5" s="2">
        <v>7.3915314879927696E-2</v>
      </c>
      <c r="BC5" s="2">
        <v>109193.055555556</v>
      </c>
      <c r="BD5" s="2">
        <v>764016.77862899099</v>
      </c>
      <c r="BE5" s="2">
        <v>3.2673390853872001E-3</v>
      </c>
    </row>
    <row r="6" spans="1:57">
      <c r="A6" s="1" t="s">
        <v>71</v>
      </c>
      <c r="B6" s="2">
        <v>178</v>
      </c>
      <c r="C6" s="2" t="s">
        <v>14</v>
      </c>
      <c r="D6" s="2">
        <v>0.147270206586578</v>
      </c>
      <c r="E6" s="2">
        <v>0.148234164165057</v>
      </c>
      <c r="F6" s="2">
        <v>5.4646632362092499E-3</v>
      </c>
      <c r="G6" s="2">
        <v>4.8877433881231499E-4</v>
      </c>
      <c r="H6" s="2">
        <v>3.2973123406832799E-3</v>
      </c>
      <c r="I6" s="2">
        <v>0.93225050751517502</v>
      </c>
      <c r="J6" s="2">
        <v>0.34727154371019298</v>
      </c>
      <c r="K6" s="2">
        <v>115597.016</v>
      </c>
      <c r="L6" s="2">
        <v>1213629.5078662799</v>
      </c>
      <c r="M6" s="2">
        <v>2.7137210530833599E-3</v>
      </c>
      <c r="O6" s="1" t="s">
        <v>71</v>
      </c>
      <c r="P6" s="2">
        <v>178</v>
      </c>
      <c r="Q6" s="2" t="s">
        <v>14</v>
      </c>
      <c r="R6" s="2">
        <v>0.148778046581441</v>
      </c>
      <c r="S6" s="2">
        <v>0.14876893294043</v>
      </c>
      <c r="T6" s="2">
        <v>5.3242660549384802E-3</v>
      </c>
      <c r="U6" s="2">
        <v>3.5183740428749901E-4</v>
      </c>
      <c r="V6" s="2">
        <v>2.36499245731891E-3</v>
      </c>
      <c r="W6" s="2">
        <v>1.0096541910168599</v>
      </c>
      <c r="X6" s="2">
        <v>5.28773618747716E-2</v>
      </c>
      <c r="Y6" s="2">
        <v>114590.292576419</v>
      </c>
      <c r="Z6" s="2">
        <v>2253857.1048731999</v>
      </c>
      <c r="AA6" s="2">
        <v>1.9838257006671699E-3</v>
      </c>
      <c r="AD6" s="1" t="s">
        <v>78</v>
      </c>
      <c r="AE6" s="2">
        <v>202</v>
      </c>
      <c r="AF6" s="2" t="s">
        <v>14</v>
      </c>
      <c r="AG6" s="2">
        <v>0.16814866903551501</v>
      </c>
      <c r="AH6" s="2">
        <v>0.167915032825764</v>
      </c>
      <c r="AI6" s="2">
        <v>6.4808181382845203E-3</v>
      </c>
      <c r="AJ6" s="2">
        <v>6.3857398581099395E-4</v>
      </c>
      <c r="AK6" s="2">
        <v>3.8029590029238598E-3</v>
      </c>
      <c r="AL6" s="2">
        <v>0.86566104944682598</v>
      </c>
      <c r="AM6" s="2">
        <v>0.123020357040661</v>
      </c>
      <c r="AN6" s="2">
        <v>111322.184466019</v>
      </c>
      <c r="AO6" s="2">
        <v>908428.83359982201</v>
      </c>
      <c r="AP6" s="2">
        <v>2.9888625698566099E-3</v>
      </c>
      <c r="AS6" s="1" t="s">
        <v>78</v>
      </c>
      <c r="AT6" s="2">
        <v>202</v>
      </c>
      <c r="AU6" s="2" t="s">
        <v>14</v>
      </c>
      <c r="AV6" s="2">
        <v>0.16860912598319</v>
      </c>
      <c r="AW6" s="2">
        <v>0.16800175192794201</v>
      </c>
      <c r="AX6" s="2">
        <v>6.7853601705651703E-3</v>
      </c>
      <c r="AY6" s="2">
        <v>7.1523976278581802E-4</v>
      </c>
      <c r="AZ6" s="2">
        <v>4.2573351442941696E-3</v>
      </c>
      <c r="BA6" s="2">
        <v>0.83548257074196997</v>
      </c>
      <c r="BB6" s="2">
        <v>8.3098802534565794E-2</v>
      </c>
      <c r="BC6" s="2">
        <v>110124.155555556</v>
      </c>
      <c r="BD6" s="2">
        <v>768372.49157741398</v>
      </c>
      <c r="BE6" s="2">
        <v>3.2467050069576002E-3</v>
      </c>
    </row>
    <row r="7" spans="1:57">
      <c r="A7" s="1" t="s">
        <v>72</v>
      </c>
      <c r="B7" s="2">
        <v>178</v>
      </c>
      <c r="C7" s="2" t="s">
        <v>14</v>
      </c>
      <c r="D7" s="2">
        <v>0.14726698900846499</v>
      </c>
      <c r="E7" s="2">
        <v>0.14870511670731401</v>
      </c>
      <c r="F7" s="2">
        <v>5.6626657201733904E-3</v>
      </c>
      <c r="G7" s="2">
        <v>5.0648421936662E-4</v>
      </c>
      <c r="H7" s="2">
        <v>3.40596363179284E-3</v>
      </c>
      <c r="I7" s="2">
        <v>0.95953487935335602</v>
      </c>
      <c r="J7" s="2">
        <v>0.316843341091957</v>
      </c>
      <c r="K7" s="2">
        <v>115085.11199999999</v>
      </c>
      <c r="L7" s="2">
        <v>1209252.3699883199</v>
      </c>
      <c r="M7" s="2">
        <v>2.7186501269429401E-3</v>
      </c>
      <c r="O7" s="1" t="s">
        <v>72</v>
      </c>
      <c r="P7" s="2">
        <v>178</v>
      </c>
      <c r="Q7" s="2" t="s">
        <v>14</v>
      </c>
      <c r="R7" s="2">
        <v>0.14866939381473901</v>
      </c>
      <c r="S7" s="2">
        <v>0.149455221494151</v>
      </c>
      <c r="T7" s="2">
        <v>5.4040977768155104E-3</v>
      </c>
      <c r="U7" s="2">
        <v>3.5556352919840801E-4</v>
      </c>
      <c r="V7" s="2">
        <v>2.37906394733972E-3</v>
      </c>
      <c r="W7" s="2">
        <v>1.0262777230720299</v>
      </c>
      <c r="X7" s="2">
        <v>5.2633837099344299E-2</v>
      </c>
      <c r="Y7" s="2">
        <v>114458.826839827</v>
      </c>
      <c r="Z7" s="2">
        <v>2262142.4532090002</v>
      </c>
      <c r="AA7" s="2">
        <v>1.9807254833146999E-3</v>
      </c>
      <c r="AD7" s="1" t="s">
        <v>79</v>
      </c>
      <c r="AE7" s="2">
        <v>202</v>
      </c>
      <c r="AF7" s="2" t="s">
        <v>14</v>
      </c>
      <c r="AG7" s="2">
        <v>0.16865715266697501</v>
      </c>
      <c r="AH7" s="2">
        <v>0.16914717841737201</v>
      </c>
      <c r="AI7" s="2">
        <v>6.7848478418540198E-3</v>
      </c>
      <c r="AJ7" s="2">
        <v>6.6530906812252997E-4</v>
      </c>
      <c r="AK7" s="2">
        <v>3.93331461007805E-3</v>
      </c>
      <c r="AL7" s="2">
        <v>0.86952975523182297</v>
      </c>
      <c r="AM7" s="2">
        <v>0.12078362056575501</v>
      </c>
      <c r="AN7" s="2">
        <v>111151.615384615</v>
      </c>
      <c r="AO7" s="2">
        <v>917792.33134664199</v>
      </c>
      <c r="AP7" s="2">
        <v>2.9703835226845801E-3</v>
      </c>
      <c r="AS7" s="1" t="s">
        <v>79</v>
      </c>
      <c r="AT7" s="2">
        <v>202</v>
      </c>
      <c r="AU7" s="2" t="s">
        <v>14</v>
      </c>
      <c r="AV7" s="2">
        <v>0.16911647144226399</v>
      </c>
      <c r="AW7" s="2">
        <v>0.16939704619426099</v>
      </c>
      <c r="AX7" s="2">
        <v>6.50866604439979E-3</v>
      </c>
      <c r="AY7" s="2">
        <v>6.82293592163112E-4</v>
      </c>
      <c r="AZ7" s="2">
        <v>4.0277773874561598E-3</v>
      </c>
      <c r="BA7" s="2">
        <v>0.837557655158082</v>
      </c>
      <c r="BB7" s="2">
        <v>8.2913047813961804E-2</v>
      </c>
      <c r="BC7" s="2">
        <v>110259.714285714</v>
      </c>
      <c r="BD7" s="2">
        <v>778493.74822579406</v>
      </c>
      <c r="BE7" s="2">
        <v>3.2220869821601699E-3</v>
      </c>
    </row>
    <row r="8" spans="1:57">
      <c r="A8" s="1" t="s">
        <v>73</v>
      </c>
      <c r="B8" s="2">
        <v>178</v>
      </c>
      <c r="C8" s="2" t="s">
        <v>14</v>
      </c>
      <c r="D8" s="2">
        <v>0.14846141071341401</v>
      </c>
      <c r="E8" s="2">
        <v>0.149014760744939</v>
      </c>
      <c r="F8" s="2">
        <v>5.2604393342075397E-3</v>
      </c>
      <c r="G8" s="2">
        <v>4.19828763916863E-4</v>
      </c>
      <c r="H8" s="2">
        <v>2.8173636075922901E-3</v>
      </c>
      <c r="I8" s="2">
        <v>0.96188226180881398</v>
      </c>
      <c r="J8" s="2">
        <v>0.31197221585190499</v>
      </c>
      <c r="K8" s="2">
        <v>114524.802547771</v>
      </c>
      <c r="L8" s="2">
        <v>1514838.6618997001</v>
      </c>
      <c r="M8" s="2">
        <v>2.4217339227718998E-3</v>
      </c>
      <c r="O8" s="1" t="s">
        <v>73</v>
      </c>
      <c r="P8" s="2">
        <v>178</v>
      </c>
      <c r="Q8" s="2" t="s">
        <v>14</v>
      </c>
      <c r="R8" s="2">
        <v>0.14956418231593399</v>
      </c>
      <c r="S8" s="2">
        <v>0.14974498118326299</v>
      </c>
      <c r="T8" s="2">
        <v>4.7824344288780896E-3</v>
      </c>
      <c r="U8" s="2">
        <v>3.1603216260594601E-4</v>
      </c>
      <c r="V8" s="2">
        <v>2.1104691463360199E-3</v>
      </c>
      <c r="W8" s="2">
        <v>0.86289686801440202</v>
      </c>
      <c r="X8" s="2">
        <v>4.5763706528642097E-2</v>
      </c>
      <c r="Y8" s="2">
        <v>113548.497816594</v>
      </c>
      <c r="Z8" s="2">
        <v>2235300.9178301999</v>
      </c>
      <c r="AA8" s="2">
        <v>1.9881604262483102E-3</v>
      </c>
      <c r="AD8" s="1" t="s">
        <v>80</v>
      </c>
      <c r="AE8" s="2">
        <v>202</v>
      </c>
      <c r="AF8" s="2" t="s">
        <v>14</v>
      </c>
      <c r="AG8" s="2">
        <v>0.16943343906059</v>
      </c>
      <c r="AH8" s="2">
        <v>0.16913620941129001</v>
      </c>
      <c r="AI8" s="2">
        <v>6.4223878920212397E-3</v>
      </c>
      <c r="AJ8" s="2">
        <v>5.4086263011000402E-4</v>
      </c>
      <c r="AK8" s="2">
        <v>3.1977932578279699E-3</v>
      </c>
      <c r="AL8" s="2">
        <v>0.93784762350150197</v>
      </c>
      <c r="AM8" s="2">
        <v>0.97776952490934599</v>
      </c>
      <c r="AN8" s="2">
        <v>120249.212765957</v>
      </c>
      <c r="AO8" s="2">
        <v>1276333.3087424501</v>
      </c>
      <c r="AP8" s="2">
        <v>2.51474465287325E-3</v>
      </c>
      <c r="AS8" s="1" t="s">
        <v>80</v>
      </c>
      <c r="AT8" s="2">
        <v>202</v>
      </c>
      <c r="AU8" s="2" t="s">
        <v>14</v>
      </c>
      <c r="AV8" s="2">
        <v>0.16875717992147199</v>
      </c>
      <c r="AW8" s="2">
        <v>0.16958778877094899</v>
      </c>
      <c r="AX8" s="2">
        <v>6.1184035213219601E-3</v>
      </c>
      <c r="AY8" s="2">
        <v>5.6324469837887195E-4</v>
      </c>
      <c r="AZ8" s="2">
        <v>3.3212573998450401E-3</v>
      </c>
      <c r="BA8" s="2">
        <v>0.90423846984821499</v>
      </c>
      <c r="BB8" s="2">
        <v>6.2698750418778995E-2</v>
      </c>
      <c r="BC8" s="2">
        <v>109552.169491525</v>
      </c>
      <c r="BD8" s="2">
        <v>1008419.77669699</v>
      </c>
      <c r="BE8" s="2">
        <v>2.8331690251644599E-3</v>
      </c>
    </row>
    <row r="9" spans="1:57">
      <c r="A9" s="1" t="s">
        <v>74</v>
      </c>
      <c r="B9" s="2">
        <v>178</v>
      </c>
      <c r="C9" s="2" t="s">
        <v>14</v>
      </c>
      <c r="D9" s="2">
        <v>0.14709045668311299</v>
      </c>
      <c r="E9" s="2">
        <v>0.14889520128075101</v>
      </c>
      <c r="F9" s="2">
        <v>5.2961779269498199E-3</v>
      </c>
      <c r="G9" s="2">
        <v>5.4053889616742696E-4</v>
      </c>
      <c r="H9" s="2">
        <v>3.6303312095882002E-3</v>
      </c>
      <c r="I9" s="2">
        <v>0.91233303009488698</v>
      </c>
      <c r="J9" s="2">
        <v>2.9986971343050599E-2</v>
      </c>
      <c r="K9" s="2">
        <v>110780.09375</v>
      </c>
      <c r="L9" s="2">
        <v>900138.55340288905</v>
      </c>
      <c r="M9" s="2">
        <v>3.1524683631581302E-3</v>
      </c>
      <c r="O9" s="1" t="s">
        <v>74</v>
      </c>
      <c r="P9" s="2">
        <v>178</v>
      </c>
      <c r="Q9" s="2" t="s">
        <v>14</v>
      </c>
      <c r="R9" s="2">
        <v>0.149004482373293</v>
      </c>
      <c r="S9" s="2">
        <v>0.14911101723161699</v>
      </c>
      <c r="T9" s="2">
        <v>5.5096145517011296E-3</v>
      </c>
      <c r="U9" s="2">
        <v>3.6488313743422799E-4</v>
      </c>
      <c r="V9" s="2">
        <v>2.4470568587661701E-3</v>
      </c>
      <c r="W9" s="2">
        <v>0.95084701674292904</v>
      </c>
      <c r="X9" s="2">
        <v>4.8869319162860303E-2</v>
      </c>
      <c r="Y9" s="2">
        <v>117949.07894736801</v>
      </c>
      <c r="Z9" s="2">
        <v>2006232.6406469001</v>
      </c>
      <c r="AA9" s="2">
        <v>2.1015097554310299E-3</v>
      </c>
      <c r="AD9" s="1" t="s">
        <v>81</v>
      </c>
      <c r="AE9" s="2">
        <v>202</v>
      </c>
      <c r="AF9" s="2" t="s">
        <v>14</v>
      </c>
      <c r="AG9" s="2">
        <v>0.16710104976522799</v>
      </c>
      <c r="AH9" s="2">
        <v>0.168168400022111</v>
      </c>
      <c r="AI9" s="2">
        <v>6.8574295720600104E-3</v>
      </c>
      <c r="AJ9" s="2">
        <v>7.8147662706332696E-4</v>
      </c>
      <c r="AK9" s="2">
        <v>4.6469885362563799E-3</v>
      </c>
      <c r="AL9" s="2">
        <v>0.74350331593708796</v>
      </c>
      <c r="AM9" s="2">
        <v>6.9425926517865999E-2</v>
      </c>
      <c r="AN9" s="2">
        <v>108957.753246753</v>
      </c>
      <c r="AO9" s="2">
        <v>659307.56094102701</v>
      </c>
      <c r="AP9" s="2">
        <v>3.5162103054435499E-3</v>
      </c>
      <c r="AS9" s="1" t="s">
        <v>81</v>
      </c>
      <c r="AT9" s="2">
        <v>202</v>
      </c>
      <c r="AU9" s="2" t="s">
        <v>14</v>
      </c>
      <c r="AV9" s="2">
        <v>0.16727206770542999</v>
      </c>
      <c r="AW9" s="2">
        <v>0.168615131216062</v>
      </c>
      <c r="AX9" s="2">
        <v>6.97242723973666E-3</v>
      </c>
      <c r="AY9" s="2">
        <v>8.4553099930494201E-4</v>
      </c>
      <c r="AZ9" s="2">
        <v>5.0145618202051103E-3</v>
      </c>
      <c r="BA9" s="2">
        <v>0.70617879259278504</v>
      </c>
      <c r="BB9" s="2">
        <v>8.0300629683505598E-2</v>
      </c>
      <c r="BC9" s="2">
        <v>108973.794117647</v>
      </c>
      <c r="BD9" s="2">
        <v>574031.30411494197</v>
      </c>
      <c r="BE9" s="2">
        <v>3.7669737347249101E-3</v>
      </c>
    </row>
    <row r="10" spans="1:57">
      <c r="A10" s="1" t="s">
        <v>75</v>
      </c>
      <c r="B10" s="2">
        <v>178</v>
      </c>
      <c r="C10" s="2" t="s">
        <v>14</v>
      </c>
      <c r="D10" s="2">
        <v>0.14714747352028101</v>
      </c>
      <c r="E10" s="2">
        <v>0.148054212481706</v>
      </c>
      <c r="F10" s="2">
        <v>5.8909824193092604E-3</v>
      </c>
      <c r="G10" s="2">
        <v>5.3554385630084195E-4</v>
      </c>
      <c r="H10" s="2">
        <v>3.6172145819019898E-3</v>
      </c>
      <c r="I10" s="2">
        <v>0.92538980520110303</v>
      </c>
      <c r="J10" s="2">
        <v>3.6708203512686499E-2</v>
      </c>
      <c r="K10" s="2">
        <v>112694.73553719</v>
      </c>
      <c r="L10" s="2">
        <v>1138846.77000971</v>
      </c>
      <c r="M10" s="2">
        <v>2.8022714417281899E-3</v>
      </c>
      <c r="O10" s="1" t="s">
        <v>75</v>
      </c>
      <c r="P10" s="2">
        <v>178</v>
      </c>
      <c r="Q10" s="2" t="s">
        <v>14</v>
      </c>
      <c r="R10" s="2">
        <v>0.14868139934204999</v>
      </c>
      <c r="S10" s="2">
        <v>0.14903216597545199</v>
      </c>
      <c r="T10" s="2">
        <v>5.6443148329429699E-3</v>
      </c>
      <c r="U10" s="2">
        <v>3.9325804871672402E-4</v>
      </c>
      <c r="V10" s="2">
        <v>2.6387461132484601E-3</v>
      </c>
      <c r="W10" s="2">
        <v>0.75881656379149098</v>
      </c>
      <c r="X10" s="2">
        <v>4.2623480961408597E-2</v>
      </c>
      <c r="Y10" s="2">
        <v>118263.475728155</v>
      </c>
      <c r="Z10" s="2">
        <v>1861861.39631956</v>
      </c>
      <c r="AA10" s="2">
        <v>2.1832204713963998E-3</v>
      </c>
      <c r="AD10" s="1" t="s">
        <v>82</v>
      </c>
      <c r="AE10" s="2">
        <v>202</v>
      </c>
      <c r="AF10" s="2" t="s">
        <v>14</v>
      </c>
      <c r="AG10" s="2">
        <v>0.166309167220066</v>
      </c>
      <c r="AH10" s="2">
        <v>0.167907398624488</v>
      </c>
      <c r="AI10" s="2">
        <v>7.0696714314391002E-3</v>
      </c>
      <c r="AJ10" s="2">
        <v>7.7136439221515496E-4</v>
      </c>
      <c r="AK10" s="2">
        <v>4.5939869150153001E-3</v>
      </c>
      <c r="AL10" s="2">
        <v>0.78024929955934497</v>
      </c>
      <c r="AM10" s="2">
        <v>7.2027763838701603E-2</v>
      </c>
      <c r="AN10" s="2">
        <v>109707</v>
      </c>
      <c r="AO10" s="2">
        <v>720310.91192784801</v>
      </c>
      <c r="AP10" s="2">
        <v>3.3697338286707498E-3</v>
      </c>
      <c r="AS10" s="1" t="s">
        <v>82</v>
      </c>
      <c r="AT10" s="2">
        <v>202</v>
      </c>
      <c r="AU10" s="2" t="s">
        <v>14</v>
      </c>
      <c r="AV10" s="2">
        <v>0.16703289791508399</v>
      </c>
      <c r="AW10" s="2">
        <v>0.168489967228622</v>
      </c>
      <c r="AX10" s="2">
        <v>7.5646464886170196E-3</v>
      </c>
      <c r="AY10" s="2">
        <v>8.9150213823001702E-4</v>
      </c>
      <c r="AZ10" s="2">
        <v>5.2911289193875201E-3</v>
      </c>
      <c r="BA10" s="2">
        <v>0.73270006926962805</v>
      </c>
      <c r="BB10" s="2">
        <v>7.5486620553248895E-2</v>
      </c>
      <c r="BC10" s="2">
        <v>109092.36111111099</v>
      </c>
      <c r="BD10" s="2">
        <v>607706.10584445496</v>
      </c>
      <c r="BE10" s="2">
        <v>3.66298627005212E-3</v>
      </c>
    </row>
    <row r="11" spans="1:57">
      <c r="A11" s="1" t="s">
        <v>76</v>
      </c>
      <c r="B11" s="2">
        <v>178</v>
      </c>
      <c r="C11" s="2" t="s">
        <v>14</v>
      </c>
      <c r="D11" s="2">
        <v>0.14696065254802401</v>
      </c>
      <c r="E11" s="2">
        <v>0.148022555460676</v>
      </c>
      <c r="F11" s="2">
        <v>6.4431857237037399E-3</v>
      </c>
      <c r="G11" s="2">
        <v>6.1433365431127996E-4</v>
      </c>
      <c r="H11" s="2">
        <v>4.1502705611273297E-3</v>
      </c>
      <c r="I11" s="2">
        <v>0.90587828186827402</v>
      </c>
      <c r="J11" s="2">
        <v>4.0102398035804197E-2</v>
      </c>
      <c r="K11" s="2">
        <v>112506.372727273</v>
      </c>
      <c r="L11" s="2">
        <v>1040073.36418505</v>
      </c>
      <c r="M11" s="2">
        <v>2.9337019955046899E-3</v>
      </c>
      <c r="O11" s="1" t="s">
        <v>76</v>
      </c>
      <c r="P11" s="2">
        <v>178</v>
      </c>
      <c r="Q11" s="2" t="s">
        <v>14</v>
      </c>
      <c r="R11" s="2">
        <v>0.14905005015190301</v>
      </c>
      <c r="S11" s="2">
        <v>0.149605969045423</v>
      </c>
      <c r="T11" s="2">
        <v>6.1273337233480199E-3</v>
      </c>
      <c r="U11" s="2">
        <v>4.13104755354762E-4</v>
      </c>
      <c r="V11" s="2">
        <v>2.76128524811291E-3</v>
      </c>
      <c r="W11" s="2">
        <v>0.86147341807494604</v>
      </c>
      <c r="X11" s="2">
        <v>4.5892855327387502E-2</v>
      </c>
      <c r="Y11" s="2">
        <v>118524.604545455</v>
      </c>
      <c r="Z11" s="2">
        <v>1967159.10866898</v>
      </c>
      <c r="AA11" s="2">
        <v>2.1220379121956899E-3</v>
      </c>
      <c r="AD11" s="1" t="s">
        <v>83</v>
      </c>
      <c r="AE11" s="2">
        <v>202</v>
      </c>
      <c r="AF11" s="2" t="s">
        <v>14</v>
      </c>
      <c r="AG11" s="2">
        <v>0.16770478113339199</v>
      </c>
      <c r="AH11" s="2">
        <v>0.16835383496353101</v>
      </c>
      <c r="AI11" s="2">
        <v>7.7791356304646696E-3</v>
      </c>
      <c r="AJ11" s="2">
        <v>8.6434840338496305E-4</v>
      </c>
      <c r="AK11" s="2">
        <v>5.1341176966488303E-3</v>
      </c>
      <c r="AL11" s="2">
        <v>0.76026818308251398</v>
      </c>
      <c r="AM11" s="2">
        <v>8.1146336722156903E-2</v>
      </c>
      <c r="AN11" s="2">
        <v>109888</v>
      </c>
      <c r="AO11" s="2">
        <v>697569.85486121394</v>
      </c>
      <c r="AP11" s="2">
        <v>3.4140233260593999E-3</v>
      </c>
      <c r="AS11" s="1" t="s">
        <v>83</v>
      </c>
      <c r="AT11" s="2">
        <v>202</v>
      </c>
      <c r="AU11" s="2" t="s">
        <v>14</v>
      </c>
      <c r="AV11" s="2">
        <v>0.168097148193421</v>
      </c>
      <c r="AW11" s="2">
        <v>0.168991046962923</v>
      </c>
      <c r="AX11" s="2">
        <v>7.4960498008765303E-3</v>
      </c>
      <c r="AY11" s="2">
        <v>8.8341794105197804E-4</v>
      </c>
      <c r="AZ11" s="2">
        <v>5.2276020353066504E-3</v>
      </c>
      <c r="BA11" s="2">
        <v>0.74388198502365199</v>
      </c>
      <c r="BB11" s="2">
        <v>9.3605206580165704E-2</v>
      </c>
      <c r="BC11" s="2">
        <v>110147.86111111099</v>
      </c>
      <c r="BD11" s="2">
        <v>610754.22489288601</v>
      </c>
      <c r="BE11" s="2">
        <v>3.6455709165719502E-3</v>
      </c>
    </row>
    <row r="12" spans="1:57">
      <c r="A12" s="1"/>
      <c r="B12" s="2"/>
      <c r="C12" s="48"/>
      <c r="D12" s="49" t="s">
        <v>123</v>
      </c>
      <c r="E12" s="49" t="s">
        <v>124</v>
      </c>
      <c r="F12" s="2"/>
      <c r="G12" s="2"/>
      <c r="H12" s="2"/>
      <c r="I12" s="2"/>
      <c r="J12" s="2"/>
      <c r="K12" s="2"/>
      <c r="L12" s="2"/>
      <c r="M12" s="2"/>
      <c r="P12" s="1"/>
      <c r="Q12" s="48"/>
      <c r="R12" s="49" t="s">
        <v>123</v>
      </c>
      <c r="S12" s="49" t="s">
        <v>124</v>
      </c>
      <c r="U12" s="2"/>
      <c r="V12" s="2"/>
      <c r="W12" s="2"/>
      <c r="X12" s="2"/>
      <c r="Y12" s="2"/>
      <c r="Z12" s="2"/>
      <c r="AA12" s="2"/>
      <c r="AB12" s="2"/>
      <c r="AE12" s="1"/>
      <c r="AF12" s="48"/>
      <c r="AG12" s="49" t="s">
        <v>123</v>
      </c>
      <c r="AH12" s="49" t="s">
        <v>124</v>
      </c>
      <c r="AI12" s="72"/>
      <c r="AJ12" s="2"/>
      <c r="AK12" s="2"/>
      <c r="AL12" s="2"/>
      <c r="AM12" s="2"/>
      <c r="AN12" s="2"/>
      <c r="AO12" s="2"/>
      <c r="AP12" s="2"/>
      <c r="AQ12" s="2"/>
      <c r="AT12" s="2"/>
      <c r="AU12" s="48"/>
      <c r="AV12" s="49" t="s">
        <v>123</v>
      </c>
      <c r="AW12" s="49" t="s">
        <v>124</v>
      </c>
    </row>
    <row r="13" spans="1:57">
      <c r="C13" s="50" t="s">
        <v>118</v>
      </c>
      <c r="D13" s="51">
        <f>AVERAGE(D9:D11)</f>
        <v>0.14706619425047265</v>
      </c>
      <c r="E13" s="51">
        <f>SQRT(1/SUM((1/M5^2)+(1/M6^2)+(1/M7^2) +(1/M8^2)))</f>
        <v>1.3094395983400298E-3</v>
      </c>
      <c r="Q13" s="50" t="s">
        <v>118</v>
      </c>
      <c r="R13" s="51">
        <f>AVERAGE(R9:R11)</f>
        <v>0.14891197728908201</v>
      </c>
      <c r="S13" s="51">
        <f>SQRT(1/SUM((1/AA5^2)+(1/AA6^2)+(1/AA7^2) +(1/AA8^2)))</f>
        <v>9.919433939290785E-4</v>
      </c>
      <c r="AF13" s="50" t="s">
        <v>118</v>
      </c>
      <c r="AG13" s="51">
        <f>AVERAGE(R9:R11)</f>
        <v>0.14891197728908201</v>
      </c>
      <c r="AH13" s="51">
        <f>SQRT(1/SUM((1/AA5^2)+(1/AA6^2)+(1/AA7^2) +(1/AA8^2)))</f>
        <v>9.919433939290785E-4</v>
      </c>
      <c r="AT13" s="1"/>
      <c r="AU13" s="50" t="s">
        <v>118</v>
      </c>
      <c r="AV13" s="51">
        <f>AVERAGE(AV9:AV11)</f>
        <v>0.16746737127131164</v>
      </c>
      <c r="AW13" s="51">
        <f>SQRT(1/SUM((1/BE5^2)+(1/BE6^2)+(1/BE7^2) +(1/BE8^2)))</f>
        <v>1.5627993002707333E-3</v>
      </c>
    </row>
    <row r="14" spans="1:57">
      <c r="C14" s="50" t="s">
        <v>119</v>
      </c>
      <c r="D14" s="51">
        <f>AVERAGE(D5:D8)</f>
        <v>0.147628173806167</v>
      </c>
      <c r="E14" s="51">
        <f>SQRT(1/SUM((1/M9^2)+(1/M10^2)+(1/M11^2)))</f>
        <v>1.7045958686178983E-3</v>
      </c>
      <c r="Q14" s="50" t="s">
        <v>119</v>
      </c>
      <c r="R14" s="51">
        <f>AVERAGE(R5:R8)</f>
        <v>0.14890953292874776</v>
      </c>
      <c r="S14" s="51">
        <f>SQRT(1/SUM((1/AA9^2)+(1/AA10^2)+(1/AA11^2)))</f>
        <v>1.2325001513666923E-3</v>
      </c>
      <c r="AF14" s="50" t="s">
        <v>119</v>
      </c>
      <c r="AG14" s="51">
        <f>AVERAGE(R5:R8)</f>
        <v>0.14890953292874776</v>
      </c>
      <c r="AH14" s="51">
        <f>SQRT(1/SUM((1/AA9^2)+(1/AA10^2)+(1/AA11^2)))</f>
        <v>1.2325001513666923E-3</v>
      </c>
      <c r="AT14" s="1"/>
      <c r="AU14" s="50" t="s">
        <v>119</v>
      </c>
      <c r="AV14" s="51">
        <f>AVERAGE(AV5:AV8)</f>
        <v>0.16836179722527975</v>
      </c>
      <c r="AW14" s="51">
        <f>SQRT(1/SUM((1/BE9^2)+(1/BE10^2)+(1/BE11^2)))</f>
        <v>2.1308214828158105E-3</v>
      </c>
    </row>
    <row r="15" spans="1:57">
      <c r="C15" s="50" t="s">
        <v>120</v>
      </c>
      <c r="D15" s="51">
        <f>D13/D14</f>
        <v>0.99619327706083927</v>
      </c>
      <c r="E15" s="51">
        <f>SQRT(E13^2+E14^2)</f>
        <v>2.1494834581848045E-3</v>
      </c>
      <c r="Q15" s="50" t="s">
        <v>120</v>
      </c>
      <c r="R15" s="51">
        <f>R13/R14</f>
        <v>1.0000164150695134</v>
      </c>
      <c r="S15" s="51">
        <f>SQRT(S13^2+S14^2)</f>
        <v>1.5820898583451127E-3</v>
      </c>
      <c r="AF15" s="50" t="s">
        <v>120</v>
      </c>
      <c r="AG15" s="51">
        <f>AG13/AG14</f>
        <v>1.0000164150695134</v>
      </c>
      <c r="AH15" s="51">
        <f>SQRT(AH13^2+AH14^2)</f>
        <v>1.5820898583451127E-3</v>
      </c>
      <c r="AT15" s="1"/>
      <c r="AU15" s="50" t="s">
        <v>120</v>
      </c>
      <c r="AV15" s="51">
        <f>AV13/AV14</f>
        <v>0.99468747679872238</v>
      </c>
      <c r="AW15" s="51">
        <f>SQRT(AW13^2+AW14^2)</f>
        <v>2.6424878135113627E-3</v>
      </c>
    </row>
    <row r="16" spans="1:57">
      <c r="C16" s="50" t="s">
        <v>121</v>
      </c>
      <c r="D16" s="51">
        <f>(D15-1)*1000</f>
        <v>-3.8067229391607338</v>
      </c>
      <c r="E16" s="51">
        <f>E15*1000</f>
        <v>2.1494834581848044</v>
      </c>
      <c r="Q16" s="50" t="s">
        <v>121</v>
      </c>
      <c r="R16" s="51">
        <f>(R15-1)*1000</f>
        <v>1.6415069513442404E-2</v>
      </c>
      <c r="S16" s="51">
        <f>S15*1000</f>
        <v>1.5820898583451126</v>
      </c>
      <c r="AF16" s="50" t="s">
        <v>121</v>
      </c>
      <c r="AG16" s="51">
        <f>(AG15-1)*1000</f>
        <v>1.6415069513442404E-2</v>
      </c>
      <c r="AH16" s="51">
        <f>AH15*1000</f>
        <v>1.5820898583451126</v>
      </c>
      <c r="AT16" s="1"/>
      <c r="AU16" s="50" t="s">
        <v>121</v>
      </c>
      <c r="AV16" s="51">
        <f>(AV15-1)*1000</f>
        <v>-5.3125232012776191</v>
      </c>
      <c r="AW16" s="51">
        <f>AW15*1000</f>
        <v>2.6424878135113627</v>
      </c>
    </row>
    <row r="17" spans="1:57">
      <c r="C17" s="50" t="s">
        <v>122</v>
      </c>
      <c r="D17" s="51">
        <f>1000*((((D1/1000)+1)*D15)-1)</f>
        <v>-28.113838899445188</v>
      </c>
      <c r="E17" s="51">
        <f>SQRT(E16^2+E2^2)</f>
        <v>2.1494834581848044</v>
      </c>
      <c r="Q17" s="50" t="s">
        <v>122</v>
      </c>
      <c r="R17" s="51">
        <f>1000*((((R1/1000)+1)*R15)-1)</f>
        <v>-24.083980533661897</v>
      </c>
      <c r="S17" s="51">
        <f>SQRT(S16^2+S2^2)</f>
        <v>1.5820898583451126</v>
      </c>
      <c r="AF17" s="50" t="s">
        <v>122</v>
      </c>
      <c r="AG17" s="51">
        <f>1000*((((AG1/1000)+1)*AG15)-1)</f>
        <v>-24.183982175168815</v>
      </c>
      <c r="AH17" s="51">
        <f>SQRT(AH16^2+S2^2)</f>
        <v>1.5820898583451126</v>
      </c>
      <c r="AT17" s="1"/>
      <c r="AU17" s="50" t="s">
        <v>122</v>
      </c>
      <c r="AV17" s="51">
        <f>1000*((((AV1/1000)+1)*AV15)-1)</f>
        <v>-30.37864761660547</v>
      </c>
      <c r="AW17" s="51">
        <f>SQRT(AW16^2+AH2^2)</f>
        <v>2.6424878135113627</v>
      </c>
    </row>
    <row r="18" spans="1:57">
      <c r="C18" s="76" t="s">
        <v>265</v>
      </c>
      <c r="D18" s="77">
        <f>'Karp 2020 vals'!E20</f>
        <v>-27.65066667</v>
      </c>
      <c r="E18" s="77">
        <f>'Karp 2020 vals'!F20</f>
        <v>0.2130075637676333</v>
      </c>
      <c r="Q18" s="76" t="s">
        <v>265</v>
      </c>
      <c r="R18" s="77" t="s">
        <v>266</v>
      </c>
      <c r="S18" s="77" t="s">
        <v>266</v>
      </c>
      <c r="AF18" s="76" t="s">
        <v>265</v>
      </c>
      <c r="AG18" s="77">
        <f>'Karp 2020 vals'!G20</f>
        <v>-27.430666670000001</v>
      </c>
      <c r="AH18" s="77">
        <f>'Karp 2020 vals'!H20</f>
        <v>0.10387920335124247</v>
      </c>
      <c r="AT18" s="1"/>
      <c r="AU18" s="76" t="s">
        <v>265</v>
      </c>
      <c r="AV18" s="77">
        <f>'Karp 2020 vals'!I20</f>
        <v>-27.56066667</v>
      </c>
      <c r="AW18" s="77">
        <f>'Karp 2020 vals'!J20</f>
        <v>5.5912630256697765E-2</v>
      </c>
    </row>
    <row r="19" spans="1:57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O19" s="1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D19" s="1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S19" s="1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>
      <c r="A20" s="1" t="s">
        <v>70</v>
      </c>
      <c r="B20" s="2">
        <v>178</v>
      </c>
      <c r="C20" s="2" t="s">
        <v>20</v>
      </c>
      <c r="D20" s="2">
        <v>9.5399997169704608E-3</v>
      </c>
      <c r="E20" s="2">
        <v>9.5644950849886595E-3</v>
      </c>
      <c r="F20" s="2">
        <v>1.1073182425825499E-3</v>
      </c>
      <c r="G20" s="8">
        <v>9.7118234458198801E-5</v>
      </c>
      <c r="H20" s="2">
        <v>1.0154036736411199E-2</v>
      </c>
      <c r="I20" s="2">
        <v>0.980134237524111</v>
      </c>
      <c r="J20" s="2">
        <v>0.38172810628632098</v>
      </c>
      <c r="K20" s="2">
        <v>115675.238461538</v>
      </c>
      <c r="L20" s="2">
        <v>1112153.21382659</v>
      </c>
      <c r="M20" s="2">
        <v>9.8009244082312603E-3</v>
      </c>
      <c r="O20" s="1" t="s">
        <v>70</v>
      </c>
      <c r="P20" s="2">
        <v>178</v>
      </c>
      <c r="Q20" s="2" t="s">
        <v>20</v>
      </c>
      <c r="R20" s="2">
        <v>9.6173802083495494E-3</v>
      </c>
      <c r="S20" s="2">
        <v>9.7335053069696302E-3</v>
      </c>
      <c r="T20" s="2">
        <v>1.1059874170136299E-3</v>
      </c>
      <c r="U20" s="8">
        <v>7.2926650660023201E-5</v>
      </c>
      <c r="V20" s="2">
        <v>7.4923317304614202E-3</v>
      </c>
      <c r="W20" s="2">
        <v>0.97724510161644196</v>
      </c>
      <c r="X20" s="2">
        <v>5.1931970974931602E-2</v>
      </c>
      <c r="Y20" s="2">
        <v>114361.856521739</v>
      </c>
      <c r="Z20" s="2">
        <v>1984523.6804462399</v>
      </c>
      <c r="AA20" s="2">
        <v>7.3080293464546104E-3</v>
      </c>
      <c r="AD20" s="1" t="s">
        <v>77</v>
      </c>
      <c r="AE20" s="2">
        <v>202</v>
      </c>
      <c r="AF20" s="2" t="s">
        <v>20</v>
      </c>
      <c r="AG20" s="2">
        <v>1.2210147700930001E-2</v>
      </c>
      <c r="AH20" s="2">
        <v>1.22669606646288E-2</v>
      </c>
      <c r="AI20" s="2">
        <v>1.6444581281192499E-3</v>
      </c>
      <c r="AJ20" s="2">
        <v>1.6203327403511501E-4</v>
      </c>
      <c r="AK20" s="2">
        <v>1.3208917715235699E-2</v>
      </c>
      <c r="AL20" s="2">
        <v>0.859909727098503</v>
      </c>
      <c r="AM20" s="2">
        <v>7.0494134347282397E-2</v>
      </c>
      <c r="AN20" s="2">
        <v>109723.40776699</v>
      </c>
      <c r="AO20" s="2">
        <v>777563.06254157994</v>
      </c>
      <c r="AP20" s="2">
        <v>1.03882505913472E-2</v>
      </c>
      <c r="AS20" s="1" t="s">
        <v>77</v>
      </c>
      <c r="AT20" s="2">
        <v>202</v>
      </c>
      <c r="AU20" s="2" t="s">
        <v>20</v>
      </c>
      <c r="AV20" s="2">
        <v>1.25015552126314E-2</v>
      </c>
      <c r="AW20" s="2">
        <v>1.25276172785722E-2</v>
      </c>
      <c r="AX20" s="2">
        <v>1.49314533025354E-3</v>
      </c>
      <c r="AY20" s="2">
        <v>1.5739133737485101E-4</v>
      </c>
      <c r="AZ20" s="2">
        <v>1.25635493067033E-2</v>
      </c>
      <c r="BA20" s="2">
        <v>0.82967870546866795</v>
      </c>
      <c r="BB20" s="2">
        <v>7.3915314879927696E-2</v>
      </c>
      <c r="BC20" s="2">
        <v>109193.055555556</v>
      </c>
      <c r="BD20" s="2">
        <v>662889.261155908</v>
      </c>
      <c r="BE20" s="2">
        <v>1.1122263647646201E-2</v>
      </c>
    </row>
    <row r="21" spans="1:57">
      <c r="A21" s="1" t="s">
        <v>71</v>
      </c>
      <c r="B21" s="2">
        <v>178</v>
      </c>
      <c r="C21" s="2" t="s">
        <v>20</v>
      </c>
      <c r="D21" s="2">
        <v>9.4233406453306991E-3</v>
      </c>
      <c r="E21" s="2">
        <v>9.5899526347860593E-3</v>
      </c>
      <c r="F21" s="2">
        <v>1.1598090004824801E-3</v>
      </c>
      <c r="G21" s="2">
        <v>1.03736470639797E-4</v>
      </c>
      <c r="H21" s="2">
        <v>1.08172036495268E-2</v>
      </c>
      <c r="I21" s="2">
        <v>0.93225050751517502</v>
      </c>
      <c r="J21" s="2">
        <v>0.34727154371019298</v>
      </c>
      <c r="K21" s="2">
        <v>115597.016</v>
      </c>
      <c r="L21" s="2">
        <v>1067809.43591398</v>
      </c>
      <c r="M21" s="2">
        <v>1.0062920000261801E-2</v>
      </c>
      <c r="O21" s="1" t="s">
        <v>71</v>
      </c>
      <c r="P21" s="2">
        <v>178</v>
      </c>
      <c r="Q21" s="2" t="s">
        <v>20</v>
      </c>
      <c r="R21" s="2">
        <v>9.4915981121252609E-3</v>
      </c>
      <c r="S21" s="2">
        <v>9.5482661835836896E-3</v>
      </c>
      <c r="T21" s="2">
        <v>1.2237469716205999E-3</v>
      </c>
      <c r="U21" s="8">
        <v>8.0867476109748099E-5</v>
      </c>
      <c r="V21" s="2">
        <v>8.4693361658458293E-3</v>
      </c>
      <c r="W21" s="2">
        <v>1.0096541910168599</v>
      </c>
      <c r="X21" s="2">
        <v>5.28773618747716E-2</v>
      </c>
      <c r="Y21" s="2">
        <v>114590.292576419</v>
      </c>
      <c r="Z21" s="2">
        <v>1980582.60034265</v>
      </c>
      <c r="AA21" s="2">
        <v>7.3626907309706901E-3</v>
      </c>
      <c r="AD21" s="1" t="s">
        <v>78</v>
      </c>
      <c r="AE21" s="2">
        <v>202</v>
      </c>
      <c r="AF21" s="2" t="s">
        <v>20</v>
      </c>
      <c r="AG21" s="2">
        <v>1.24613898713979E-2</v>
      </c>
      <c r="AH21" s="2">
        <v>1.2462318708295299E-2</v>
      </c>
      <c r="AI21" s="2">
        <v>1.3640575131385899E-3</v>
      </c>
      <c r="AJ21" s="2">
        <v>1.3440458047954201E-4</v>
      </c>
      <c r="AK21" s="2">
        <v>1.0784877487531999E-2</v>
      </c>
      <c r="AL21" s="2">
        <v>0.86566104944682598</v>
      </c>
      <c r="AM21" s="2">
        <v>0.123020357040661</v>
      </c>
      <c r="AN21" s="2">
        <v>111322.184466019</v>
      </c>
      <c r="AO21" s="2">
        <v>787356.21915755095</v>
      </c>
      <c r="AP21" s="2">
        <v>1.02213814850438E-2</v>
      </c>
      <c r="AS21" s="1" t="s">
        <v>78</v>
      </c>
      <c r="AT21" s="2">
        <v>202</v>
      </c>
      <c r="AU21" s="2" t="s">
        <v>20</v>
      </c>
      <c r="AV21" s="2">
        <v>1.28071556093503E-2</v>
      </c>
      <c r="AW21" s="2">
        <v>1.27655740077917E-2</v>
      </c>
      <c r="AX21" s="2">
        <v>1.43322880323823E-3</v>
      </c>
      <c r="AY21" s="2">
        <v>1.51075580879671E-4</v>
      </c>
      <c r="AZ21" s="2">
        <v>1.18346093005657E-2</v>
      </c>
      <c r="BA21" s="2">
        <v>0.83548257074196997</v>
      </c>
      <c r="BB21" s="2">
        <v>8.3098802534565794E-2</v>
      </c>
      <c r="BC21" s="2">
        <v>110124.155555556</v>
      </c>
      <c r="BD21" s="2">
        <v>665931.097353235</v>
      </c>
      <c r="BE21" s="2">
        <v>1.0966947638498E-2</v>
      </c>
    </row>
    <row r="22" spans="1:57">
      <c r="A22" s="1" t="s">
        <v>72</v>
      </c>
      <c r="B22" s="2">
        <v>178</v>
      </c>
      <c r="C22" s="2" t="s">
        <v>20</v>
      </c>
      <c r="D22" s="2">
        <v>9.4982204857724292E-3</v>
      </c>
      <c r="E22" s="2">
        <v>9.5834506738748902E-3</v>
      </c>
      <c r="F22" s="2">
        <v>1.32018698703527E-3</v>
      </c>
      <c r="G22" s="2">
        <v>1.1808111384085999E-4</v>
      </c>
      <c r="H22" s="2">
        <v>1.2321356665690101E-2</v>
      </c>
      <c r="I22" s="2">
        <v>0.95953487935335602</v>
      </c>
      <c r="J22" s="2">
        <v>0.316843341091957</v>
      </c>
      <c r="K22" s="2">
        <v>115085.11199999999</v>
      </c>
      <c r="L22" s="2">
        <v>1064040.1295573299</v>
      </c>
      <c r="M22" s="2">
        <v>1.00416581059906E-2</v>
      </c>
      <c r="O22" s="1" t="s">
        <v>72</v>
      </c>
      <c r="P22" s="2">
        <v>178</v>
      </c>
      <c r="Q22" s="2" t="s">
        <v>20</v>
      </c>
      <c r="R22" s="2">
        <v>9.6292500978990402E-3</v>
      </c>
      <c r="S22" s="2">
        <v>9.5939581936496394E-3</v>
      </c>
      <c r="T22" s="2">
        <v>1.1761894961605001E-3</v>
      </c>
      <c r="U22" s="8">
        <v>7.7387587259267998E-5</v>
      </c>
      <c r="V22" s="2">
        <v>8.0662835606779906E-3</v>
      </c>
      <c r="W22" s="2">
        <v>1.0262777230720299</v>
      </c>
      <c r="X22" s="2">
        <v>5.2633837099344299E-2</v>
      </c>
      <c r="Y22" s="2">
        <v>114458.826839827</v>
      </c>
      <c r="Z22" s="2">
        <v>1988322.4894354399</v>
      </c>
      <c r="AA22" s="2">
        <v>7.2966292258322503E-3</v>
      </c>
      <c r="AD22" s="1" t="s">
        <v>79</v>
      </c>
      <c r="AE22" s="2">
        <v>202</v>
      </c>
      <c r="AF22" s="2" t="s">
        <v>20</v>
      </c>
      <c r="AG22" s="2">
        <v>1.289847719056E-2</v>
      </c>
      <c r="AH22" s="2">
        <v>1.3280636364026E-2</v>
      </c>
      <c r="AI22" s="2">
        <v>1.78374887489915E-3</v>
      </c>
      <c r="AJ22" s="2">
        <v>1.74910967701152E-4</v>
      </c>
      <c r="AK22" s="2">
        <v>1.3170375493070799E-2</v>
      </c>
      <c r="AL22" s="2">
        <v>0.86952975523182297</v>
      </c>
      <c r="AM22" s="2">
        <v>0.12078362056575501</v>
      </c>
      <c r="AN22" s="2">
        <v>111151.615384615</v>
      </c>
      <c r="AO22" s="2">
        <v>795468.93002510804</v>
      </c>
      <c r="AP22" s="2">
        <v>9.9996566336870308E-3</v>
      </c>
      <c r="AS22" s="1" t="s">
        <v>79</v>
      </c>
      <c r="AT22" s="2">
        <v>202</v>
      </c>
      <c r="AU22" s="2" t="s">
        <v>20</v>
      </c>
      <c r="AV22" s="2">
        <v>1.2493232717864599E-2</v>
      </c>
      <c r="AW22" s="2">
        <v>1.2651266483236501E-2</v>
      </c>
      <c r="AX22" s="2">
        <v>1.2725953888233501E-3</v>
      </c>
      <c r="AY22" s="2">
        <v>1.3340424493857501E-4</v>
      </c>
      <c r="AZ22" s="2">
        <v>1.0544734403890799E-2</v>
      </c>
      <c r="BA22" s="2">
        <v>0.837557655158082</v>
      </c>
      <c r="BB22" s="2">
        <v>8.2913047813961804E-2</v>
      </c>
      <c r="BC22" s="2">
        <v>110259.714285714</v>
      </c>
      <c r="BD22" s="2">
        <v>674201.13482740102</v>
      </c>
      <c r="BE22" s="2">
        <v>1.10321453382221E-2</v>
      </c>
    </row>
    <row r="23" spans="1:57">
      <c r="A23" s="1" t="s">
        <v>73</v>
      </c>
      <c r="B23" s="2">
        <v>178</v>
      </c>
      <c r="C23" s="2" t="s">
        <v>20</v>
      </c>
      <c r="D23" s="2">
        <v>9.4307368661952495E-3</v>
      </c>
      <c r="E23" s="2">
        <v>9.6246176567136507E-3</v>
      </c>
      <c r="F23" s="2">
        <v>1.3007465162958301E-3</v>
      </c>
      <c r="G23" s="2">
        <v>1.03810873467265E-4</v>
      </c>
      <c r="H23" s="2">
        <v>1.0785973757082399E-2</v>
      </c>
      <c r="I23" s="2">
        <v>0.96188226180881398</v>
      </c>
      <c r="J23" s="2">
        <v>0.31197221585190499</v>
      </c>
      <c r="K23" s="2">
        <v>114524.802547771</v>
      </c>
      <c r="L23" s="2">
        <v>1331455.0166426001</v>
      </c>
      <c r="M23" s="2">
        <v>9.0082506529355708E-3</v>
      </c>
      <c r="O23" s="1" t="s">
        <v>73</v>
      </c>
      <c r="P23" s="2">
        <v>178</v>
      </c>
      <c r="Q23" s="2" t="s">
        <v>20</v>
      </c>
      <c r="R23" s="2">
        <v>9.64926494044311E-3</v>
      </c>
      <c r="S23" s="2">
        <v>9.6531723638207806E-3</v>
      </c>
      <c r="T23" s="2">
        <v>1.18304308131818E-3</v>
      </c>
      <c r="U23" s="8">
        <v>7.8177687327475405E-5</v>
      </c>
      <c r="V23" s="2">
        <v>8.0986523788260899E-3</v>
      </c>
      <c r="W23" s="2">
        <v>0.86289686801440202</v>
      </c>
      <c r="X23" s="2">
        <v>4.5763706528642097E-2</v>
      </c>
      <c r="Y23" s="2">
        <v>113548.497816594</v>
      </c>
      <c r="Z23" s="2">
        <v>1963239.6027346901</v>
      </c>
      <c r="AA23" s="2">
        <v>7.3356189688951997E-3</v>
      </c>
      <c r="AD23" s="1" t="s">
        <v>80</v>
      </c>
      <c r="AE23" s="2">
        <v>202</v>
      </c>
      <c r="AF23" s="2" t="s">
        <v>20</v>
      </c>
      <c r="AG23" s="2">
        <v>1.2793334237029099E-2</v>
      </c>
      <c r="AH23" s="2">
        <v>1.26493097529048E-2</v>
      </c>
      <c r="AI23" s="2">
        <v>1.5173397649059399E-3</v>
      </c>
      <c r="AJ23" s="2">
        <v>1.27783059792616E-4</v>
      </c>
      <c r="AK23" s="2">
        <v>1.01019788659434E-2</v>
      </c>
      <c r="AL23" s="2">
        <v>0.93784762350150197</v>
      </c>
      <c r="AM23" s="2">
        <v>0.97776952490934599</v>
      </c>
      <c r="AN23" s="2">
        <v>120249.212765957</v>
      </c>
      <c r="AO23" s="2">
        <v>1105374.4695358099</v>
      </c>
      <c r="AP23" s="2">
        <v>8.5167568083282501E-3</v>
      </c>
      <c r="AS23" s="1" t="s">
        <v>80</v>
      </c>
      <c r="AT23" s="2">
        <v>202</v>
      </c>
      <c r="AU23" s="2" t="s">
        <v>20</v>
      </c>
      <c r="AV23" s="2">
        <v>1.26202592857474E-2</v>
      </c>
      <c r="AW23" s="2">
        <v>1.2430692016158301E-2</v>
      </c>
      <c r="AX23" s="2">
        <v>1.56725225637215E-3</v>
      </c>
      <c r="AY23" s="2">
        <v>1.4427726470600801E-4</v>
      </c>
      <c r="AZ23" s="2">
        <v>1.16065352209247E-2</v>
      </c>
      <c r="BA23" s="2">
        <v>0.90423846984821499</v>
      </c>
      <c r="BB23" s="2">
        <v>6.2698750418778995E-2</v>
      </c>
      <c r="BC23" s="2">
        <v>109552.169491525</v>
      </c>
      <c r="BD23" s="2">
        <v>873702.69316025998</v>
      </c>
      <c r="BE23" s="2">
        <v>9.6434100951575206E-3</v>
      </c>
    </row>
    <row r="24" spans="1:57">
      <c r="A24" s="1" t="s">
        <v>74</v>
      </c>
      <c r="B24" s="2">
        <v>178</v>
      </c>
      <c r="C24" s="2" t="s">
        <v>20</v>
      </c>
      <c r="D24" s="2">
        <v>9.3458969586794494E-3</v>
      </c>
      <c r="E24" s="2">
        <v>9.4060861561385805E-3</v>
      </c>
      <c r="F24" s="2">
        <v>1.2459962058920899E-3</v>
      </c>
      <c r="G24" s="2">
        <v>1.2716895524497599E-4</v>
      </c>
      <c r="H24" s="2">
        <v>1.35198586462004E-2</v>
      </c>
      <c r="I24" s="2">
        <v>0.91233303009488698</v>
      </c>
      <c r="J24" s="2">
        <v>2.9986971343050599E-2</v>
      </c>
      <c r="K24" s="2">
        <v>110780.09375</v>
      </c>
      <c r="L24" s="2">
        <v>792048.39537996205</v>
      </c>
      <c r="M24" s="2">
        <v>1.1731503336454001E-2</v>
      </c>
      <c r="O24" s="1" t="s">
        <v>74</v>
      </c>
      <c r="P24" s="2">
        <v>178</v>
      </c>
      <c r="Q24" s="2" t="s">
        <v>20</v>
      </c>
      <c r="R24" s="2">
        <v>9.6764758704983595E-3</v>
      </c>
      <c r="S24" s="2">
        <v>9.8189581168091206E-3</v>
      </c>
      <c r="T24" s="2">
        <v>1.2554258737493E-3</v>
      </c>
      <c r="U24" s="8">
        <v>8.3142609583879804E-5</v>
      </c>
      <c r="V24" s="2">
        <v>8.4675592455728706E-3</v>
      </c>
      <c r="W24" s="2">
        <v>0.95084701674292904</v>
      </c>
      <c r="X24" s="2">
        <v>4.8869319162860303E-2</v>
      </c>
      <c r="Y24" s="2">
        <v>117949.07894736801</v>
      </c>
      <c r="Z24" s="2">
        <v>1762957.3543531499</v>
      </c>
      <c r="AA24" s="2">
        <v>7.7304135085164297E-3</v>
      </c>
      <c r="AD24" s="1" t="s">
        <v>81</v>
      </c>
      <c r="AE24" s="2">
        <v>202</v>
      </c>
      <c r="AF24" s="2" t="s">
        <v>20</v>
      </c>
      <c r="AG24" s="2">
        <v>1.23936172251231E-2</v>
      </c>
      <c r="AH24" s="2">
        <v>1.2666201257617599E-2</v>
      </c>
      <c r="AI24" s="2">
        <v>1.66838432805989E-3</v>
      </c>
      <c r="AJ24" s="2">
        <v>1.90130039781931E-4</v>
      </c>
      <c r="AK24" s="2">
        <v>1.50108178383464E-2</v>
      </c>
      <c r="AL24" s="2">
        <v>0.74350331593708796</v>
      </c>
      <c r="AM24" s="2">
        <v>6.9425926517865999E-2</v>
      </c>
      <c r="AN24" s="2">
        <v>108957.753246753</v>
      </c>
      <c r="AO24" s="2">
        <v>571911.71802923898</v>
      </c>
      <c r="AP24" s="2">
        <v>1.2025021498234501E-2</v>
      </c>
      <c r="AS24" s="1" t="s">
        <v>81</v>
      </c>
      <c r="AT24" s="2">
        <v>202</v>
      </c>
      <c r="AU24" s="2" t="s">
        <v>20</v>
      </c>
      <c r="AV24" s="2">
        <v>1.2433272229976901E-2</v>
      </c>
      <c r="AW24" s="2">
        <v>1.2687499568016999E-2</v>
      </c>
      <c r="AX24" s="2">
        <v>1.7891982503955399E-3</v>
      </c>
      <c r="AY24" s="2">
        <v>2.1697215798679699E-4</v>
      </c>
      <c r="AZ24" s="2">
        <v>1.7101254413733901E-2</v>
      </c>
      <c r="BA24" s="2">
        <v>0.70617879259278504</v>
      </c>
      <c r="BB24" s="2">
        <v>8.0300629683505598E-2</v>
      </c>
      <c r="BC24" s="2">
        <v>108973.794117647</v>
      </c>
      <c r="BD24" s="2">
        <v>497885.97505803901</v>
      </c>
      <c r="BE24" s="2">
        <v>1.28679315319471E-2</v>
      </c>
    </row>
    <row r="25" spans="1:57">
      <c r="A25" s="1" t="s">
        <v>75</v>
      </c>
      <c r="B25" s="2">
        <v>178</v>
      </c>
      <c r="C25" s="2" t="s">
        <v>20</v>
      </c>
      <c r="D25" s="2">
        <v>9.4642661456426306E-3</v>
      </c>
      <c r="E25" s="2">
        <v>9.6022322652776302E-3</v>
      </c>
      <c r="F25" s="2">
        <v>1.1480902829945499E-3</v>
      </c>
      <c r="G25" s="2">
        <v>1.04371843908595E-4</v>
      </c>
      <c r="H25" s="2">
        <v>1.0869539605494799E-2</v>
      </c>
      <c r="I25" s="2">
        <v>0.92538980520110303</v>
      </c>
      <c r="J25" s="2">
        <v>3.6708203512686499E-2</v>
      </c>
      <c r="K25" s="2">
        <v>112694.73553719</v>
      </c>
      <c r="L25" s="2">
        <v>1002159.83164946</v>
      </c>
      <c r="M25" s="2">
        <v>1.0365230922311701E-2</v>
      </c>
      <c r="O25" s="1" t="s">
        <v>75</v>
      </c>
      <c r="P25" s="2">
        <v>178</v>
      </c>
      <c r="Q25" s="2" t="s">
        <v>20</v>
      </c>
      <c r="R25" s="2">
        <v>9.6899295638930207E-3</v>
      </c>
      <c r="S25" s="2">
        <v>9.7956030342366499E-3</v>
      </c>
      <c r="T25" s="2">
        <v>1.3041477439693101E-3</v>
      </c>
      <c r="U25" s="8">
        <v>9.0864278873734898E-5</v>
      </c>
      <c r="V25" s="2">
        <v>9.2760270660371593E-3</v>
      </c>
      <c r="W25" s="2">
        <v>0.75881656379149098</v>
      </c>
      <c r="X25" s="2">
        <v>4.2623480961408597E-2</v>
      </c>
      <c r="Y25" s="2">
        <v>118263.475728155</v>
      </c>
      <c r="Z25" s="2">
        <v>1636574.51333713</v>
      </c>
      <c r="AA25" s="2">
        <v>8.0178849991762793E-3</v>
      </c>
      <c r="AD25" s="1" t="s">
        <v>82</v>
      </c>
      <c r="AE25" s="2">
        <v>202</v>
      </c>
      <c r="AF25" s="2" t="s">
        <v>20</v>
      </c>
      <c r="AG25" s="2">
        <v>1.21577464834563E-2</v>
      </c>
      <c r="AH25" s="2">
        <v>1.2195489991096899E-2</v>
      </c>
      <c r="AI25" s="2">
        <v>1.3803260839096001E-3</v>
      </c>
      <c r="AJ25" s="2">
        <v>1.5060592293423099E-4</v>
      </c>
      <c r="AK25" s="2">
        <v>1.2349312987356699E-2</v>
      </c>
      <c r="AL25" s="2">
        <v>0.78024929955934497</v>
      </c>
      <c r="AM25" s="2">
        <v>7.2027763838701603E-2</v>
      </c>
      <c r="AN25" s="2">
        <v>109707</v>
      </c>
      <c r="AO25" s="2">
        <v>625107.20988508605</v>
      </c>
      <c r="AP25" s="2">
        <v>1.1610325826465401E-2</v>
      </c>
      <c r="AS25" s="1" t="s">
        <v>82</v>
      </c>
      <c r="AT25" s="2">
        <v>202</v>
      </c>
      <c r="AU25" s="2" t="s">
        <v>20</v>
      </c>
      <c r="AV25" s="2">
        <v>1.2492296190627901E-2</v>
      </c>
      <c r="AW25" s="2">
        <v>1.22967793938404E-2</v>
      </c>
      <c r="AX25" s="2">
        <v>1.42159994867834E-3</v>
      </c>
      <c r="AY25" s="2">
        <v>1.6753716064081699E-4</v>
      </c>
      <c r="AZ25" s="2">
        <v>1.36244747730237E-2</v>
      </c>
      <c r="BA25" s="2">
        <v>0.73270006926962805</v>
      </c>
      <c r="BB25" s="2">
        <v>7.5486620553248895E-2</v>
      </c>
      <c r="BC25" s="2">
        <v>109092.36111111099</v>
      </c>
      <c r="BD25" s="2">
        <v>527232.56697797601</v>
      </c>
      <c r="BE25" s="2">
        <v>1.24758308183991E-2</v>
      </c>
    </row>
    <row r="26" spans="1:57">
      <c r="A26" s="1" t="s">
        <v>76</v>
      </c>
      <c r="B26" s="2">
        <v>178</v>
      </c>
      <c r="C26" s="2" t="s">
        <v>20</v>
      </c>
      <c r="D26" s="2">
        <v>9.4512195864856798E-3</v>
      </c>
      <c r="E26" s="2">
        <v>9.5455157970037608E-3</v>
      </c>
      <c r="F26" s="2">
        <v>1.55331667501445E-3</v>
      </c>
      <c r="G26" s="2">
        <v>1.4810293388776299E-4</v>
      </c>
      <c r="H26" s="2">
        <v>1.55154458949459E-2</v>
      </c>
      <c r="I26" s="2">
        <v>0.90587828186827402</v>
      </c>
      <c r="J26" s="2">
        <v>4.0102398035804197E-2</v>
      </c>
      <c r="K26" s="2">
        <v>112506.372727273</v>
      </c>
      <c r="L26" s="2">
        <v>915378.67807724106</v>
      </c>
      <c r="M26" s="2">
        <v>1.08527803705463E-2</v>
      </c>
      <c r="O26" s="1" t="s">
        <v>76</v>
      </c>
      <c r="P26" s="2">
        <v>178</v>
      </c>
      <c r="Q26" s="2" t="s">
        <v>20</v>
      </c>
      <c r="R26" s="2">
        <v>9.7302454531502606E-3</v>
      </c>
      <c r="S26" s="2">
        <v>9.8315955235719309E-3</v>
      </c>
      <c r="T26" s="2">
        <v>1.18764116217547E-3</v>
      </c>
      <c r="U26" s="8">
        <v>8.0070750819438493E-5</v>
      </c>
      <c r="V26" s="2">
        <v>8.14422751906985E-3</v>
      </c>
      <c r="W26" s="2">
        <v>0.86147341807494604</v>
      </c>
      <c r="X26" s="2">
        <v>4.5892855327387502E-2</v>
      </c>
      <c r="Y26" s="2">
        <v>118524.604545455</v>
      </c>
      <c r="Z26" s="2">
        <v>1728645.3704772401</v>
      </c>
      <c r="AA26" s="2">
        <v>7.7855717907141398E-3</v>
      </c>
      <c r="AD26" s="1" t="s">
        <v>83</v>
      </c>
      <c r="AE26" s="2">
        <v>202</v>
      </c>
      <c r="AF26" s="2" t="s">
        <v>20</v>
      </c>
      <c r="AG26" s="2">
        <v>1.2620585988044599E-2</v>
      </c>
      <c r="AH26" s="2">
        <v>1.28713511659981E-2</v>
      </c>
      <c r="AI26" s="2">
        <v>1.4890143761873301E-3</v>
      </c>
      <c r="AJ26" s="2">
        <v>1.6544604179859299E-4</v>
      </c>
      <c r="AK26" s="2">
        <v>1.28538208355038E-2</v>
      </c>
      <c r="AL26" s="2">
        <v>0.76026818308251398</v>
      </c>
      <c r="AM26" s="2">
        <v>8.1146336722156903E-2</v>
      </c>
      <c r="AN26" s="2">
        <v>109888</v>
      </c>
      <c r="AO26" s="2">
        <v>604924.81199874904</v>
      </c>
      <c r="AP26" s="2">
        <v>1.1589275657374099E-2</v>
      </c>
      <c r="AS26" s="1" t="s">
        <v>83</v>
      </c>
      <c r="AT26" s="2">
        <v>202</v>
      </c>
      <c r="AU26" s="2" t="s">
        <v>20</v>
      </c>
      <c r="AV26" s="2">
        <v>1.26409880689016E-2</v>
      </c>
      <c r="AW26" s="2">
        <v>1.2766248541691101E-2</v>
      </c>
      <c r="AX26" s="2">
        <v>1.37938989255069E-3</v>
      </c>
      <c r="AY26" s="2">
        <v>1.62562657820463E-4</v>
      </c>
      <c r="AZ26" s="2">
        <v>1.2733784501341799E-2</v>
      </c>
      <c r="BA26" s="2">
        <v>0.74388198502365199</v>
      </c>
      <c r="BB26" s="2">
        <v>9.3605206580165704E-2</v>
      </c>
      <c r="BC26" s="2">
        <v>110147.86111111099</v>
      </c>
      <c r="BD26" s="2">
        <v>529472.02441108797</v>
      </c>
      <c r="BE26" s="2">
        <v>1.23778006015941E-2</v>
      </c>
    </row>
    <row r="27" spans="1:57">
      <c r="A27" s="1"/>
      <c r="B27" s="2"/>
      <c r="C27" s="44"/>
      <c r="D27" s="45" t="s">
        <v>123</v>
      </c>
      <c r="E27" s="45" t="s">
        <v>124</v>
      </c>
      <c r="F27" s="2"/>
      <c r="G27" s="2"/>
      <c r="H27" s="2"/>
      <c r="I27" s="2"/>
      <c r="J27" s="2"/>
      <c r="K27" s="2"/>
      <c r="L27" s="2"/>
      <c r="M27" s="2"/>
      <c r="P27" s="1"/>
      <c r="Q27" s="44"/>
      <c r="R27" s="45" t="s">
        <v>123</v>
      </c>
      <c r="S27" s="45" t="s">
        <v>124</v>
      </c>
      <c r="U27" s="2"/>
      <c r="V27" s="2"/>
      <c r="W27" s="2"/>
      <c r="X27" s="2"/>
      <c r="Y27" s="2"/>
      <c r="Z27" s="2"/>
      <c r="AA27" s="2"/>
      <c r="AB27" s="2"/>
      <c r="AE27" s="1"/>
      <c r="AF27" s="44"/>
      <c r="AG27" s="45" t="s">
        <v>123</v>
      </c>
      <c r="AH27" s="45" t="s">
        <v>124</v>
      </c>
      <c r="AI27" s="72"/>
      <c r="AJ27" s="2"/>
      <c r="AK27" s="2"/>
      <c r="AL27" s="2"/>
      <c r="AM27" s="2"/>
      <c r="AN27" s="2"/>
      <c r="AO27" s="2"/>
      <c r="AP27" s="2"/>
      <c r="AQ27" s="2"/>
      <c r="AU27" s="44"/>
      <c r="AV27" s="45" t="s">
        <v>123</v>
      </c>
      <c r="AW27" s="45" t="s">
        <v>124</v>
      </c>
    </row>
    <row r="28" spans="1:57">
      <c r="C28" s="46" t="s">
        <v>118</v>
      </c>
      <c r="D28" s="47">
        <f>AVERAGE(D24:D26)</f>
        <v>9.4204608969359199E-3</v>
      </c>
      <c r="E28" s="47">
        <f>SQRT(1/SUM((1/M20^2)+(1/M21^2)+(1/M22^2) +(1/M23^2)))</f>
        <v>4.8492306866580485E-3</v>
      </c>
      <c r="Q28" s="46" t="s">
        <v>118</v>
      </c>
      <c r="R28" s="47">
        <f>AVERAGE(R24:R26)</f>
        <v>9.6988836291805464E-3</v>
      </c>
      <c r="S28" s="47">
        <f>SQRT(1/SUM((1/AA20^2)+(1/AA21^2)+(1/AA22^2) +(1/AA23^2)))</f>
        <v>3.6628039705272754E-3</v>
      </c>
      <c r="AF28" s="46" t="s">
        <v>118</v>
      </c>
      <c r="AG28" s="47">
        <f>AVERAGE(AG24:AG26)</f>
        <v>1.2390649898874666E-2</v>
      </c>
      <c r="AH28" s="47">
        <f>SQRT(1/SUM((1/AP20^2)+(1/AP21^2)+(1/AP22^2) +(1/AP23^2)))</f>
        <v>4.8435884079779477E-3</v>
      </c>
      <c r="AU28" s="46" t="s">
        <v>118</v>
      </c>
      <c r="AV28" s="47">
        <f>AVERAGE(AV24:AV26)</f>
        <v>1.2522185496502134E-2</v>
      </c>
      <c r="AW28" s="47">
        <f>SQRT(1/SUM((1/BE20^2)+(1/BE21^2)+(1/BE22^2) +(1/BE23^2)))</f>
        <v>5.317365461981088E-3</v>
      </c>
    </row>
    <row r="29" spans="1:57">
      <c r="C29" s="46" t="s">
        <v>119</v>
      </c>
      <c r="D29" s="47">
        <f>AVERAGE(D20:D23)</f>
        <v>9.4730744285672092E-3</v>
      </c>
      <c r="E29" s="47">
        <f>SQRT(1/SUM((1/M24^2)+(1/M25^2)+(1/M26^2)))</f>
        <v>6.3164945523568865E-3</v>
      </c>
      <c r="Q29" s="46" t="s">
        <v>119</v>
      </c>
      <c r="R29" s="47">
        <f>AVERAGE(R20:R23)</f>
        <v>9.596873339704241E-3</v>
      </c>
      <c r="S29" s="47">
        <f>SQRT(1/SUM((1/AA24^2)+(1/AA25^2)+(1/AA26^2)))</f>
        <v>4.5274042452624098E-3</v>
      </c>
      <c r="AF29" s="46" t="s">
        <v>119</v>
      </c>
      <c r="AG29" s="47">
        <f>AVERAGE(AG20:AG23)</f>
        <v>1.2590837249979251E-2</v>
      </c>
      <c r="AH29" s="47">
        <f>SQRT(1/SUM((1/AP24^2)+(1/AP25^2)+(1/AP26^2)))</f>
        <v>6.7760600017995496E-3</v>
      </c>
      <c r="AU29" s="46" t="s">
        <v>119</v>
      </c>
      <c r="AV29" s="47">
        <f>AVERAGE(AV20:AV23)</f>
        <v>1.2605550706398424E-2</v>
      </c>
      <c r="AW29" s="47">
        <f>SQRT(1/SUM((1/BE24^2)+(1/BE25^2)+(1/BE26^2)))</f>
        <v>7.2564707018174081E-3</v>
      </c>
    </row>
    <row r="30" spans="1:57">
      <c r="C30" s="46" t="s">
        <v>120</v>
      </c>
      <c r="D30" s="47">
        <f>D28/D29</f>
        <v>0.99444599195034011</v>
      </c>
      <c r="E30" s="47">
        <f>SQRT(E28^2+E29^2)</f>
        <v>7.9632368847335142E-3</v>
      </c>
      <c r="F30" s="56" t="s">
        <v>128</v>
      </c>
      <c r="Q30" s="46" t="s">
        <v>120</v>
      </c>
      <c r="R30" s="47">
        <f>R28/R29</f>
        <v>1.0106295337934978</v>
      </c>
      <c r="S30" s="47">
        <f>SQRT(S28^2+S29^2)</f>
        <v>5.8235317571496475E-3</v>
      </c>
      <c r="T30" s="56" t="s">
        <v>128</v>
      </c>
      <c r="AF30" s="46" t="s">
        <v>120</v>
      </c>
      <c r="AG30" s="47">
        <f>AG28/AG29</f>
        <v>0.98410055287586884</v>
      </c>
      <c r="AH30" s="47">
        <f>SQRT(AH28^2+AH29^2)</f>
        <v>8.3291859034293429E-3</v>
      </c>
      <c r="AI30" s="56" t="s">
        <v>128</v>
      </c>
      <c r="AU30" s="46" t="s">
        <v>120</v>
      </c>
      <c r="AV30" s="47">
        <f>AV28/AV29</f>
        <v>0.99338662690444979</v>
      </c>
      <c r="AW30" s="47">
        <f>SQRT(AW28^2+AW29^2)</f>
        <v>8.9961515384415231E-3</v>
      </c>
      <c r="AX30" s="56" t="s">
        <v>128</v>
      </c>
    </row>
    <row r="31" spans="1:57">
      <c r="C31" s="46" t="s">
        <v>121</v>
      </c>
      <c r="D31" s="47">
        <f>(D30-1)*1000</f>
        <v>-5.5540080496598865</v>
      </c>
      <c r="E31" s="47">
        <f>E30*1000</f>
        <v>7.9632368847335142</v>
      </c>
      <c r="F31" s="55">
        <f>D31-2*D16</f>
        <v>2.0594378286615811</v>
      </c>
      <c r="Q31" s="46" t="s">
        <v>121</v>
      </c>
      <c r="R31" s="47">
        <f>(R30-1)*1000</f>
        <v>10.629533793497847</v>
      </c>
      <c r="S31" s="47">
        <f>S30*1000</f>
        <v>5.8235317571496479</v>
      </c>
      <c r="T31" s="55">
        <f>R31-2*R16</f>
        <v>10.596703654470963</v>
      </c>
      <c r="AF31" s="46" t="s">
        <v>121</v>
      </c>
      <c r="AG31" s="47">
        <f>(AG30-1)*1000</f>
        <v>-15.899447124131161</v>
      </c>
      <c r="AH31" s="47">
        <f>AH30*1000</f>
        <v>8.3291859034293427</v>
      </c>
      <c r="AI31" s="55">
        <f>AG31-2*AG16</f>
        <v>-15.932277263158046</v>
      </c>
      <c r="AU31" s="46" t="s">
        <v>121</v>
      </c>
      <c r="AV31" s="47">
        <f>(AV30-1)*1000</f>
        <v>-6.6133730955502124</v>
      </c>
      <c r="AW31" s="47">
        <f>AW30*1000</f>
        <v>8.9961515384415236</v>
      </c>
      <c r="AX31" s="55">
        <f>AV31-2*AV16</f>
        <v>4.0116733070050259</v>
      </c>
    </row>
    <row r="32" spans="1:57" ht="23">
      <c r="A32" s="7" t="s"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AD32" s="1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S32" s="1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>
      <c r="A33" s="1" t="s">
        <v>0</v>
      </c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  <c r="G33" s="1" t="s">
        <v>6</v>
      </c>
      <c r="H33" s="1" t="s">
        <v>7</v>
      </c>
      <c r="I33" s="1" t="s">
        <v>8</v>
      </c>
      <c r="J33" s="1" t="s">
        <v>9</v>
      </c>
      <c r="K33" s="1" t="s">
        <v>10</v>
      </c>
      <c r="L33" s="1" t="s">
        <v>11</v>
      </c>
      <c r="M33" s="1" t="s">
        <v>12</v>
      </c>
      <c r="O33" s="1" t="s">
        <v>0</v>
      </c>
      <c r="P33" s="1" t="s">
        <v>1</v>
      </c>
      <c r="Q33" s="1" t="s">
        <v>2</v>
      </c>
      <c r="R33" s="1" t="s">
        <v>3</v>
      </c>
      <c r="S33" s="1" t="s">
        <v>4</v>
      </c>
      <c r="T33" s="1" t="s">
        <v>5</v>
      </c>
      <c r="U33" s="1" t="s">
        <v>6</v>
      </c>
      <c r="V33" s="1" t="s">
        <v>7</v>
      </c>
      <c r="W33" s="1" t="s">
        <v>8</v>
      </c>
      <c r="X33" s="1" t="s">
        <v>9</v>
      </c>
      <c r="Y33" s="1" t="s">
        <v>10</v>
      </c>
      <c r="Z33" s="1" t="s">
        <v>11</v>
      </c>
      <c r="AA33" s="1" t="s">
        <v>12</v>
      </c>
      <c r="AD33" s="1" t="s">
        <v>0</v>
      </c>
      <c r="AE33" s="1" t="s">
        <v>1</v>
      </c>
      <c r="AF33" s="1" t="s">
        <v>2</v>
      </c>
      <c r="AG33" s="1" t="s">
        <v>3</v>
      </c>
      <c r="AH33" s="1" t="s">
        <v>4</v>
      </c>
      <c r="AI33" s="1" t="s">
        <v>5</v>
      </c>
      <c r="AJ33" s="1" t="s">
        <v>6</v>
      </c>
      <c r="AK33" s="1" t="s">
        <v>7</v>
      </c>
      <c r="AL33" s="1" t="s">
        <v>8</v>
      </c>
      <c r="AM33" s="1" t="s">
        <v>9</v>
      </c>
      <c r="AN33" s="1" t="s">
        <v>10</v>
      </c>
      <c r="AO33" s="1" t="s">
        <v>11</v>
      </c>
      <c r="AP33" s="1" t="s">
        <v>12</v>
      </c>
      <c r="AS33" s="1" t="s">
        <v>0</v>
      </c>
      <c r="AT33" s="1" t="s">
        <v>1</v>
      </c>
      <c r="AU33" s="1" t="s">
        <v>2</v>
      </c>
      <c r="AV33" s="1" t="s">
        <v>3</v>
      </c>
      <c r="AW33" s="1" t="s">
        <v>4</v>
      </c>
      <c r="AX33" s="1" t="s">
        <v>5</v>
      </c>
      <c r="AY33" s="1" t="s">
        <v>6</v>
      </c>
      <c r="AZ33" s="1" t="s">
        <v>7</v>
      </c>
      <c r="BA33" s="1" t="s">
        <v>8</v>
      </c>
      <c r="BB33" s="1" t="s">
        <v>9</v>
      </c>
      <c r="BC33" s="1" t="s">
        <v>10</v>
      </c>
      <c r="BD33" s="1" t="s">
        <v>11</v>
      </c>
      <c r="BE33" s="1" t="s">
        <v>12</v>
      </c>
    </row>
    <row r="34" spans="1:57">
      <c r="A34" s="1" t="s">
        <v>260</v>
      </c>
      <c r="B34" s="2">
        <v>179</v>
      </c>
      <c r="C34" s="2" t="s">
        <v>20</v>
      </c>
      <c r="D34" s="2">
        <v>6.1245861750366101E-2</v>
      </c>
      <c r="E34" s="2">
        <v>6.2081172222408901E-2</v>
      </c>
      <c r="F34" s="2">
        <v>5.0755328746417199E-3</v>
      </c>
      <c r="G34" s="2">
        <v>4.7329588099851902E-4</v>
      </c>
      <c r="H34" s="2">
        <v>7.6238231988099798E-3</v>
      </c>
      <c r="I34" s="2">
        <v>0.94148508139279297</v>
      </c>
      <c r="J34" s="2">
        <v>3.6719907999000198E-2</v>
      </c>
      <c r="K34" s="2">
        <v>24367.747826087001</v>
      </c>
      <c r="L34" s="2">
        <v>309981.393709542</v>
      </c>
      <c r="M34" s="2">
        <v>7.7021118583442804E-3</v>
      </c>
      <c r="O34" s="1" t="s">
        <v>260</v>
      </c>
      <c r="P34" s="2">
        <v>179</v>
      </c>
      <c r="Q34" s="2" t="s">
        <v>20</v>
      </c>
      <c r="R34" s="2">
        <v>6.1944316461910003E-2</v>
      </c>
      <c r="S34" s="2">
        <v>6.2470882013213901E-2</v>
      </c>
      <c r="T34" s="2">
        <v>5.6089699574147301E-3</v>
      </c>
      <c r="U34" s="2">
        <v>4.4622569063441198E-4</v>
      </c>
      <c r="V34" s="2">
        <v>7.1429388581391497E-3</v>
      </c>
      <c r="W34" s="2">
        <v>0.80992958707886997</v>
      </c>
      <c r="X34" s="2">
        <v>9.0939548230069098E-2</v>
      </c>
      <c r="Y34" s="2">
        <v>25105.835443037999</v>
      </c>
      <c r="Z34" s="2">
        <v>434198.98194678599</v>
      </c>
      <c r="AA34" s="2">
        <v>6.4752510651439497E-3</v>
      </c>
      <c r="AD34" s="1" t="s">
        <v>255</v>
      </c>
      <c r="AE34" s="2">
        <v>203</v>
      </c>
      <c r="AF34" s="2" t="s">
        <v>20</v>
      </c>
      <c r="AG34" s="2">
        <v>7.0714224088730807E-2</v>
      </c>
      <c r="AH34" s="2">
        <v>7.0884215998747696E-2</v>
      </c>
      <c r="AI34" s="2">
        <v>6.1116637287117999E-3</v>
      </c>
      <c r="AJ34" s="2">
        <v>6.0813327041257001E-4</v>
      </c>
      <c r="AK34" s="2">
        <v>8.5792480292553892E-3</v>
      </c>
      <c r="AL34" s="2">
        <v>0.85288572277829799</v>
      </c>
      <c r="AM34" s="2">
        <v>7.2363995963781597E-2</v>
      </c>
      <c r="AN34" s="2">
        <v>25171.257425742599</v>
      </c>
      <c r="AO34" s="2">
        <v>278015.493584043</v>
      </c>
      <c r="AP34" s="2">
        <v>7.6363474826725798E-3</v>
      </c>
      <c r="AS34" s="1" t="s">
        <v>255</v>
      </c>
      <c r="AT34" s="2">
        <v>203</v>
      </c>
      <c r="AU34" s="2" t="s">
        <v>20</v>
      </c>
      <c r="AV34" s="2">
        <v>6.9978780741235702E-2</v>
      </c>
      <c r="AW34" s="2">
        <v>7.0505181318809604E-2</v>
      </c>
      <c r="AX34" s="2">
        <v>6.0121959414598603E-3</v>
      </c>
      <c r="AY34" s="2">
        <v>6.4090224079476699E-4</v>
      </c>
      <c r="AZ34" s="2">
        <v>9.0901438561904E-3</v>
      </c>
      <c r="BA34" s="2">
        <v>0.82928599888215704</v>
      </c>
      <c r="BB34" s="2">
        <v>8.0650117061340496E-2</v>
      </c>
      <c r="BC34" s="2">
        <v>25267.7045454545</v>
      </c>
      <c r="BD34" s="2">
        <v>242075.32424426099</v>
      </c>
      <c r="BE34" s="2">
        <v>8.2208498910543108E-3</v>
      </c>
    </row>
    <row r="35" spans="1:57">
      <c r="A35" s="1" t="s">
        <v>261</v>
      </c>
      <c r="B35" s="2">
        <v>179</v>
      </c>
      <c r="C35" s="2" t="s">
        <v>20</v>
      </c>
      <c r="D35" s="2">
        <v>6.1611272907026102E-2</v>
      </c>
      <c r="E35" s="2">
        <v>6.1208874098517302E-2</v>
      </c>
      <c r="F35" s="2">
        <v>5.0442755662215002E-3</v>
      </c>
      <c r="G35" s="2">
        <v>4.7243969250312701E-4</v>
      </c>
      <c r="H35" s="2">
        <v>7.71848362612785E-3</v>
      </c>
      <c r="I35" s="2">
        <v>0.92226688977529103</v>
      </c>
      <c r="J35" s="2">
        <v>3.9821663751987903E-2</v>
      </c>
      <c r="K35" s="2">
        <v>24408.035087719301</v>
      </c>
      <c r="L35" s="2">
        <v>308651.94942780101</v>
      </c>
      <c r="M35" s="2">
        <v>7.6984079025900704E-3</v>
      </c>
      <c r="O35" s="1" t="s">
        <v>261</v>
      </c>
      <c r="P35" s="2">
        <v>179</v>
      </c>
      <c r="Q35" s="2" t="s">
        <v>20</v>
      </c>
      <c r="R35" s="2">
        <v>6.1887631383185003E-2</v>
      </c>
      <c r="S35" s="2">
        <v>6.2540676536519998E-2</v>
      </c>
      <c r="T35" s="2">
        <v>5.8325746545601301E-3</v>
      </c>
      <c r="U35" s="2">
        <v>4.7153571313827199E-4</v>
      </c>
      <c r="V35" s="2">
        <v>7.5396644112559804E-3</v>
      </c>
      <c r="W35" s="2">
        <v>0.79565835178141697</v>
      </c>
      <c r="X35" s="2">
        <v>9.8592582638502402E-2</v>
      </c>
      <c r="Y35" s="2">
        <v>25176.359477124199</v>
      </c>
      <c r="Z35" s="2">
        <v>424854.95633308397</v>
      </c>
      <c r="AA35" s="2">
        <v>6.5487179664289004E-3</v>
      </c>
      <c r="AD35" s="1" t="s">
        <v>256</v>
      </c>
      <c r="AE35" s="2">
        <v>203</v>
      </c>
      <c r="AF35" s="2" t="s">
        <v>20</v>
      </c>
      <c r="AG35" s="2">
        <v>7.0774590352706196E-2</v>
      </c>
      <c r="AH35" s="2">
        <v>7.1753578882957206E-2</v>
      </c>
      <c r="AI35" s="2">
        <v>5.6564052549331802E-3</v>
      </c>
      <c r="AJ35" s="2">
        <v>5.6564052549331798E-4</v>
      </c>
      <c r="AK35" s="2">
        <v>7.8830984363299599E-3</v>
      </c>
      <c r="AL35" s="2">
        <v>0.84756003936197299</v>
      </c>
      <c r="AM35" s="2">
        <v>6.7346202326926202E-2</v>
      </c>
      <c r="AN35" s="2">
        <v>25133.8</v>
      </c>
      <c r="AO35" s="2">
        <v>275443.96330925199</v>
      </c>
      <c r="AP35" s="2">
        <v>7.6690707663416603E-3</v>
      </c>
      <c r="AS35" s="1" t="s">
        <v>256</v>
      </c>
      <c r="AT35" s="2">
        <v>203</v>
      </c>
      <c r="AU35" s="2" t="s">
        <v>20</v>
      </c>
      <c r="AV35" s="2">
        <v>7.0558500707076699E-2</v>
      </c>
      <c r="AW35" s="2">
        <v>7.0084454577374E-2</v>
      </c>
      <c r="AX35" s="2">
        <v>6.0936542613058801E-3</v>
      </c>
      <c r="AY35" s="2">
        <v>6.4958572686691501E-4</v>
      </c>
      <c r="AZ35" s="2">
        <v>9.2686135717838306E-3</v>
      </c>
      <c r="BA35" s="2">
        <v>0.82542269417283098</v>
      </c>
      <c r="BB35" s="2">
        <v>7.5455636187348102E-2</v>
      </c>
      <c r="BC35" s="2">
        <v>25232.909090909099</v>
      </c>
      <c r="BD35" s="2">
        <v>243306.84609489399</v>
      </c>
      <c r="BE35" s="2">
        <v>8.1706868828047806E-3</v>
      </c>
    </row>
    <row r="36" spans="1:57">
      <c r="A36" s="1" t="s">
        <v>262</v>
      </c>
      <c r="B36" s="2">
        <v>179</v>
      </c>
      <c r="C36" s="2" t="s">
        <v>20</v>
      </c>
      <c r="D36" s="2">
        <v>6.08221627677797E-2</v>
      </c>
      <c r="E36" s="2">
        <v>6.1619154163647799E-2</v>
      </c>
      <c r="F36" s="2">
        <v>6.2377082967703303E-3</v>
      </c>
      <c r="G36" s="2">
        <v>6.11657621640991E-4</v>
      </c>
      <c r="H36" s="2">
        <v>9.92642028185837E-3</v>
      </c>
      <c r="I36" s="2">
        <v>0.80998965324609196</v>
      </c>
      <c r="J36" s="2">
        <v>4.5726010478016298E-2</v>
      </c>
      <c r="K36" s="2">
        <v>25020.2211538462</v>
      </c>
      <c r="L36" s="2">
        <v>266878.18025038199</v>
      </c>
      <c r="M36" s="2">
        <v>8.3263587900125405E-3</v>
      </c>
      <c r="O36" s="1" t="s">
        <v>262</v>
      </c>
      <c r="P36" s="2">
        <v>179</v>
      </c>
      <c r="Q36" s="2" t="s">
        <v>20</v>
      </c>
      <c r="R36" s="2">
        <v>6.1710396773333703E-2</v>
      </c>
      <c r="S36" s="2">
        <v>6.2389638870624799E-2</v>
      </c>
      <c r="T36" s="2">
        <v>6.0917896575202997E-3</v>
      </c>
      <c r="U36" s="2">
        <v>6.3168916093069504E-4</v>
      </c>
      <c r="V36" s="2">
        <v>1.0124904909942001E-2</v>
      </c>
      <c r="W36" s="2">
        <v>0.470304508035714</v>
      </c>
      <c r="X36" s="2">
        <v>7.4489416903845307E-2</v>
      </c>
      <c r="Y36" s="2">
        <v>27076.806451612902</v>
      </c>
      <c r="Z36" s="2">
        <v>196900.328572742</v>
      </c>
      <c r="AA36" s="2">
        <v>9.6317162629148603E-3</v>
      </c>
      <c r="AD36" s="1" t="s">
        <v>257</v>
      </c>
      <c r="AE36" s="2">
        <v>203</v>
      </c>
      <c r="AF36" s="2" t="s">
        <v>20</v>
      </c>
      <c r="AG36" s="2">
        <v>6.9331313245264301E-2</v>
      </c>
      <c r="AH36" s="2">
        <v>6.9562997385696004E-2</v>
      </c>
      <c r="AI36" s="2">
        <v>6.1462026987918299E-3</v>
      </c>
      <c r="AJ36" s="2">
        <v>6.4429710925627997E-4</v>
      </c>
      <c r="AK36" s="2">
        <v>9.2620665220036306E-3</v>
      </c>
      <c r="AL36" s="2">
        <v>0.77761695476753701</v>
      </c>
      <c r="AM36" s="2">
        <v>6.9345103103993999E-2</v>
      </c>
      <c r="AN36" s="2">
        <v>25524.527472527501</v>
      </c>
      <c r="AO36" s="2">
        <v>236839.00737769701</v>
      </c>
      <c r="AP36" s="2">
        <v>8.3448965097783802E-3</v>
      </c>
      <c r="AS36" s="1" t="s">
        <v>257</v>
      </c>
      <c r="AT36" s="2">
        <v>203</v>
      </c>
      <c r="AU36" s="2" t="s">
        <v>20</v>
      </c>
      <c r="AV36" s="2">
        <v>6.9990321562660607E-2</v>
      </c>
      <c r="AW36" s="2">
        <v>7.0745347790161298E-2</v>
      </c>
      <c r="AX36" s="2">
        <v>6.4120110194242803E-3</v>
      </c>
      <c r="AY36" s="2">
        <v>7.30716472039142E-4</v>
      </c>
      <c r="AZ36" s="2">
        <v>1.03288271930831E-2</v>
      </c>
      <c r="BA36" s="2">
        <v>0.74177337869735704</v>
      </c>
      <c r="BB36" s="2">
        <v>7.4259268134902898E-2</v>
      </c>
      <c r="BC36" s="2">
        <v>25459.168831168801</v>
      </c>
      <c r="BD36" s="2">
        <v>201349.195622008</v>
      </c>
      <c r="BE36" s="2">
        <v>9.0133431480245007E-3</v>
      </c>
    </row>
    <row r="37" spans="1:57">
      <c r="A37" s="1" t="s">
        <v>263</v>
      </c>
      <c r="B37" s="2">
        <v>179</v>
      </c>
      <c r="C37" s="2" t="s">
        <v>20</v>
      </c>
      <c r="D37" s="2">
        <v>6.07815232161147E-2</v>
      </c>
      <c r="E37" s="2">
        <v>6.1540517289895201E-2</v>
      </c>
      <c r="F37" s="2">
        <v>6.1927197022367698E-3</v>
      </c>
      <c r="G37" s="2">
        <v>6.1317061975129804E-4</v>
      </c>
      <c r="H37" s="2">
        <v>9.9636897243302706E-3</v>
      </c>
      <c r="I37" s="2">
        <v>0.82478299781075803</v>
      </c>
      <c r="J37" s="2">
        <v>4.2179809453969402E-2</v>
      </c>
      <c r="K37" s="2">
        <v>24903.6176470588</v>
      </c>
      <c r="L37" s="2">
        <v>260611.026951721</v>
      </c>
      <c r="M37" s="2">
        <v>8.4283733066970092E-3</v>
      </c>
      <c r="O37" s="1" t="s">
        <v>263</v>
      </c>
      <c r="P37" s="2">
        <v>179</v>
      </c>
      <c r="Q37" s="2" t="s">
        <v>20</v>
      </c>
      <c r="R37" s="2">
        <v>6.1210988774646299E-2</v>
      </c>
      <c r="S37" s="2">
        <v>6.1176006631406002E-2</v>
      </c>
      <c r="T37" s="2">
        <v>5.5314309102780599E-3</v>
      </c>
      <c r="U37" s="2">
        <v>5.6163171624523905E-4</v>
      </c>
      <c r="V37" s="2">
        <v>9.1805880633750499E-3</v>
      </c>
      <c r="W37" s="2">
        <v>0.47828053883074401</v>
      </c>
      <c r="X37" s="2">
        <v>7.3940817958009206E-2</v>
      </c>
      <c r="Y37" s="2">
        <v>26985.206185567</v>
      </c>
      <c r="Z37" s="2">
        <v>205576.447682981</v>
      </c>
      <c r="AA37" s="2">
        <v>9.4602009651455696E-3</v>
      </c>
      <c r="AD37" s="1" t="s">
        <v>258</v>
      </c>
      <c r="AE37" s="2">
        <v>203</v>
      </c>
      <c r="AF37" s="2" t="s">
        <v>20</v>
      </c>
      <c r="AG37" s="2">
        <v>7.0826398140039798E-2</v>
      </c>
      <c r="AH37" s="2">
        <v>7.1504708319149402E-2</v>
      </c>
      <c r="AI37" s="2">
        <v>5.1258225959424E-3</v>
      </c>
      <c r="AJ37" s="2">
        <v>5.4954586564646502E-4</v>
      </c>
      <c r="AK37" s="2">
        <v>7.68545007125487E-3</v>
      </c>
      <c r="AL37" s="2">
        <v>0.77762368830166095</v>
      </c>
      <c r="AM37" s="2">
        <v>5.7917665828158597E-2</v>
      </c>
      <c r="AN37" s="2">
        <v>25398.8505747126</v>
      </c>
      <c r="AO37" s="2">
        <v>225254.36057801999</v>
      </c>
      <c r="AP37" s="2">
        <v>8.4778335820875905E-3</v>
      </c>
      <c r="AS37" s="1" t="s">
        <v>258</v>
      </c>
      <c r="AT37" s="2">
        <v>203</v>
      </c>
      <c r="AU37" s="2" t="s">
        <v>20</v>
      </c>
      <c r="AV37" s="2">
        <v>7.0623396977527897E-2</v>
      </c>
      <c r="AW37" s="2">
        <v>7.1980225297021402E-2</v>
      </c>
      <c r="AX37" s="2">
        <v>5.8571233923954604E-3</v>
      </c>
      <c r="AY37" s="2">
        <v>6.7185813071842003E-4</v>
      </c>
      <c r="AZ37" s="2">
        <v>9.3339264769739701E-3</v>
      </c>
      <c r="BA37" s="2">
        <v>0.76131887872332304</v>
      </c>
      <c r="BB37" s="2">
        <v>6.5560945120579597E-2</v>
      </c>
      <c r="BC37" s="2">
        <v>25272.75</v>
      </c>
      <c r="BD37" s="2">
        <v>196886.811783096</v>
      </c>
      <c r="BE37" s="2">
        <v>9.0793365608472804E-3</v>
      </c>
    </row>
    <row r="38" spans="1:57">
      <c r="A38" s="1" t="s">
        <v>264</v>
      </c>
      <c r="B38" s="2">
        <v>179</v>
      </c>
      <c r="C38" s="2" t="s">
        <v>20</v>
      </c>
      <c r="D38" s="2">
        <v>6.0996910003053101E-2</v>
      </c>
      <c r="E38" s="2">
        <v>6.12872671900032E-2</v>
      </c>
      <c r="F38" s="2">
        <v>5.6198780002350898E-3</v>
      </c>
      <c r="G38" s="2">
        <v>4.9673173042591499E-4</v>
      </c>
      <c r="H38" s="2">
        <v>8.1049743805013206E-3</v>
      </c>
      <c r="I38" s="2">
        <v>0.82819185398305195</v>
      </c>
      <c r="J38" s="2">
        <v>0.239859481926812</v>
      </c>
      <c r="K38" s="2">
        <v>25080.9765625</v>
      </c>
      <c r="L38" s="2">
        <v>353648.68615599902</v>
      </c>
      <c r="M38" s="2">
        <v>7.2239407804961502E-3</v>
      </c>
      <c r="O38" s="1" t="s">
        <v>264</v>
      </c>
      <c r="P38" s="2">
        <v>179</v>
      </c>
      <c r="Q38" s="2" t="s">
        <v>20</v>
      </c>
      <c r="R38" s="2">
        <v>6.1027866832696703E-2</v>
      </c>
      <c r="S38" s="2">
        <v>6.1370796572883302E-2</v>
      </c>
      <c r="T38" s="2">
        <v>5.46957539201202E-3</v>
      </c>
      <c r="U38" s="2">
        <v>4.70746097868632E-4</v>
      </c>
      <c r="V38" s="2">
        <v>7.6705228570657299E-3</v>
      </c>
      <c r="W38" s="2">
        <v>0.62551055192010496</v>
      </c>
      <c r="X38" s="2">
        <v>8.5451122007903599E-2</v>
      </c>
      <c r="Y38" s="2">
        <v>25099.325925925899</v>
      </c>
      <c r="Z38" s="2">
        <v>371025.63752055599</v>
      </c>
      <c r="AA38" s="2">
        <v>7.0511626938638402E-3</v>
      </c>
      <c r="AD38" s="1" t="s">
        <v>259</v>
      </c>
      <c r="AE38" s="2">
        <v>203</v>
      </c>
      <c r="AF38" s="2" t="s">
        <v>20</v>
      </c>
      <c r="AG38" s="2">
        <v>7.0744130864885402E-2</v>
      </c>
      <c r="AH38" s="2">
        <v>7.0374460527967406E-2</v>
      </c>
      <c r="AI38" s="2">
        <v>6.4428427748127104E-3</v>
      </c>
      <c r="AJ38" s="2">
        <v>5.8571297952842805E-4</v>
      </c>
      <c r="AK38" s="2">
        <v>8.3228059602057092E-3</v>
      </c>
      <c r="AL38" s="2">
        <v>0.88505979033952398</v>
      </c>
      <c r="AM38" s="2">
        <v>0.91920374430129403</v>
      </c>
      <c r="AN38" s="2">
        <v>27684.082644628099</v>
      </c>
      <c r="AO38" s="2">
        <v>357451.502566354</v>
      </c>
      <c r="AP38" s="2">
        <v>6.7333614987141899E-3</v>
      </c>
      <c r="AS38" s="1" t="s">
        <v>259</v>
      </c>
      <c r="AT38" s="2">
        <v>203</v>
      </c>
      <c r="AU38" s="2" t="s">
        <v>20</v>
      </c>
      <c r="AV38" s="2">
        <v>6.9691061350738603E-2</v>
      </c>
      <c r="AW38" s="2">
        <v>7.0475940641329393E-2</v>
      </c>
      <c r="AX38" s="2">
        <v>5.4780259309395903E-3</v>
      </c>
      <c r="AY38" s="2">
        <v>5.3976593362979901E-4</v>
      </c>
      <c r="AZ38" s="2">
        <v>7.6588681004885004E-3</v>
      </c>
      <c r="BA38" s="2">
        <v>0.85668152445910195</v>
      </c>
      <c r="BB38" s="2">
        <v>6.6829902814157197E-2</v>
      </c>
      <c r="BC38" s="2">
        <v>25238.679611650499</v>
      </c>
      <c r="BD38" s="2">
        <v>284037.997322276</v>
      </c>
      <c r="BE38" s="2">
        <v>7.6029407579862396E-3</v>
      </c>
    </row>
    <row r="39" spans="1:57">
      <c r="C39" s="52"/>
      <c r="D39" s="42" t="s">
        <v>123</v>
      </c>
      <c r="E39" s="42" t="s">
        <v>124</v>
      </c>
      <c r="Q39" s="52"/>
      <c r="R39" s="42" t="s">
        <v>123</v>
      </c>
      <c r="S39" s="42" t="s">
        <v>124</v>
      </c>
      <c r="AF39" s="52"/>
      <c r="AG39" s="42" t="s">
        <v>123</v>
      </c>
      <c r="AH39" s="42" t="s">
        <v>124</v>
      </c>
      <c r="AU39" s="52"/>
      <c r="AV39" s="42" t="s">
        <v>123</v>
      </c>
      <c r="AW39" s="42" t="s">
        <v>124</v>
      </c>
    </row>
    <row r="40" spans="1:57">
      <c r="C40" s="52" t="s">
        <v>118</v>
      </c>
      <c r="D40" s="53">
        <f>AVERAGE(D36:D37)</f>
        <v>6.08018429919472E-2</v>
      </c>
      <c r="E40" s="54">
        <f>SQRT(1/SUM((1/M36^2)+(1/M37^2)))</f>
        <v>5.9233629414679519E-3</v>
      </c>
      <c r="Q40" s="52" t="s">
        <v>118</v>
      </c>
      <c r="R40" s="53">
        <f>AVERAGE(R36:R37)</f>
        <v>6.1460692773990001E-2</v>
      </c>
      <c r="S40" s="54">
        <f>SQRT(1/SUM((1/AA36^2)+(1/AA37^2)))</f>
        <v>6.7491949561311534E-3</v>
      </c>
      <c r="AF40" s="52" t="s">
        <v>118</v>
      </c>
      <c r="AG40" s="53">
        <f>AVERAGE(AG36:AG37)</f>
        <v>7.0078855692652042E-2</v>
      </c>
      <c r="AH40" s="54">
        <f>SQRT(1/SUM((1/AP36^2)+(1/AP37^2)))</f>
        <v>5.9471761719545255E-3</v>
      </c>
      <c r="AU40" s="52" t="s">
        <v>118</v>
      </c>
      <c r="AV40" s="53">
        <f>AVERAGE(AV36:AV37)</f>
        <v>7.0306859270094252E-2</v>
      </c>
      <c r="AW40" s="54">
        <f>SQRT(1/SUM((1/BE36^2)+(1/BE37^2)))</f>
        <v>6.396600600006022E-3</v>
      </c>
    </row>
    <row r="41" spans="1:57">
      <c r="C41" s="52" t="s">
        <v>125</v>
      </c>
      <c r="D41" s="42">
        <f>D40*D13</f>
        <v>8.9418956522404457E-3</v>
      </c>
      <c r="E41" s="42">
        <f>SQRT(E40^2+E13^2)</f>
        <v>6.0663712875207998E-3</v>
      </c>
      <c r="Q41" s="52" t="s">
        <v>125</v>
      </c>
      <c r="R41" s="42">
        <f>R40*R13</f>
        <v>9.1522332865316466E-3</v>
      </c>
      <c r="S41" s="42">
        <f>SQRT(S40^2+S13^2)</f>
        <v>6.8216995135102331E-3</v>
      </c>
      <c r="AF41" s="52" t="s">
        <v>125</v>
      </c>
      <c r="AG41" s="42">
        <f>AG40*AG13</f>
        <v>1.0435580967349057E-2</v>
      </c>
      <c r="AH41" s="42">
        <f>SQRT(AH40^2+AH13^2)</f>
        <v>6.0293329744693334E-3</v>
      </c>
      <c r="AU41" s="52" t="s">
        <v>125</v>
      </c>
      <c r="AV41" s="42">
        <f>AV40*AV13</f>
        <v>1.1774104904304732E-2</v>
      </c>
      <c r="AW41" s="42">
        <f>SQRT(AW40^2+AW13^2)</f>
        <v>6.5847430389442E-3</v>
      </c>
    </row>
    <row r="42" spans="1:57">
      <c r="C42" s="52" t="s">
        <v>119</v>
      </c>
      <c r="D42" s="53">
        <f>AVERAGE(D34:D35,D38)</f>
        <v>6.1284681553481768E-2</v>
      </c>
      <c r="E42" s="54">
        <f>SQRT(1/SUM((1/M34^2)+(1/M35^2)+(1/M38^2)))</f>
        <v>4.3481258136277377E-3</v>
      </c>
      <c r="Q42" s="52" t="s">
        <v>119</v>
      </c>
      <c r="R42" s="53">
        <f>AVERAGE(R34:R35,R38)</f>
        <v>6.1619938225930572E-2</v>
      </c>
      <c r="S42" s="54">
        <f>SQRT(1/SUM((1/AA34^2)+(1/AA35^2)+(1/AA38^2)))</f>
        <v>3.8552672278114723E-3</v>
      </c>
      <c r="AF42" s="52" t="s">
        <v>119</v>
      </c>
      <c r="AG42" s="53">
        <f>AVERAGE(AG34:AG35,AG38)</f>
        <v>7.0744315102107477E-2</v>
      </c>
      <c r="AH42" s="54">
        <f>SQRT(1/SUM((1/AP34^2)+(1/AP35^2)+(1/AP38^2)))</f>
        <v>4.2179586101039638E-3</v>
      </c>
      <c r="AU42" s="52" t="s">
        <v>119</v>
      </c>
      <c r="AV42" s="53">
        <f>AVERAGE(AV34:AV35,AV38)</f>
        <v>7.0076114266350339E-2</v>
      </c>
      <c r="AW42" s="54">
        <f>SQRT(1/SUM((1/BE34^2)+(1/BE35^2)+(1/BE38^2)))</f>
        <v>4.6089611270494386E-3</v>
      </c>
    </row>
    <row r="43" spans="1:57">
      <c r="C43" s="52" t="s">
        <v>126</v>
      </c>
      <c r="D43" s="42">
        <f>D42*D14</f>
        <v>9.0473456200330024E-3</v>
      </c>
      <c r="E43" s="42">
        <f>SQRT(E42^2+E14^2)</f>
        <v>4.670315317668078E-3</v>
      </c>
      <c r="Q43" s="52" t="s">
        <v>126</v>
      </c>
      <c r="R43" s="42">
        <f>R42*R14</f>
        <v>9.1757962203216116E-3</v>
      </c>
      <c r="S43" s="42">
        <f>SQRT(S42^2+S14^2)</f>
        <v>4.0474858889137681E-3</v>
      </c>
      <c r="AF43" s="52" t="s">
        <v>126</v>
      </c>
      <c r="AG43" s="42">
        <f>AG42*AG14</f>
        <v>1.053450291921898E-2</v>
      </c>
      <c r="AH43" s="42">
        <f>SQRT(AH42^2+AH14^2)</f>
        <v>4.3943408447307637E-3</v>
      </c>
      <c r="AU43" s="52" t="s">
        <v>126</v>
      </c>
      <c r="AV43" s="42">
        <f>AV42*AV14</f>
        <v>1.1798140540446809E-2</v>
      </c>
      <c r="AW43" s="42">
        <f>SQRT(AW42^2+AW14^2)</f>
        <v>5.0776887323153441E-3</v>
      </c>
    </row>
    <row r="44" spans="1:57">
      <c r="C44" s="52" t="s">
        <v>120</v>
      </c>
      <c r="D44" s="53">
        <f>D41/D43</f>
        <v>0.98834465132413363</v>
      </c>
      <c r="E44" s="53">
        <f>SQRT(E41^2+E43^2)</f>
        <v>7.6558935314241308E-3</v>
      </c>
      <c r="F44" s="56" t="s">
        <v>128</v>
      </c>
      <c r="Q44" s="52" t="s">
        <v>120</v>
      </c>
      <c r="R44" s="53">
        <f>R41/R43</f>
        <v>0.99743205567950821</v>
      </c>
      <c r="S44" s="53">
        <f>SQRT(S41^2+S43^2)</f>
        <v>7.9320694823975055E-3</v>
      </c>
      <c r="T44" s="56" t="s">
        <v>128</v>
      </c>
      <c r="AF44" s="52" t="s">
        <v>120</v>
      </c>
      <c r="AG44" s="53">
        <f>AG41/AG43</f>
        <v>0.99060971812068588</v>
      </c>
      <c r="AH44" s="53">
        <f>SQRT(AH41^2+AH43^2)</f>
        <v>7.4607699050897088E-3</v>
      </c>
      <c r="AI44" s="56" t="s">
        <v>128</v>
      </c>
      <c r="AU44" s="52" t="s">
        <v>120</v>
      </c>
      <c r="AV44" s="53">
        <f>AV41/AV43</f>
        <v>0.99796276065201317</v>
      </c>
      <c r="AW44" s="53">
        <f>SQRT(AW41^2+AW43^2)</f>
        <v>8.315152659525038E-3</v>
      </c>
      <c r="AX44" s="56" t="s">
        <v>128</v>
      </c>
    </row>
    <row r="45" spans="1:57">
      <c r="C45" s="52" t="s">
        <v>127</v>
      </c>
      <c r="D45" s="53">
        <f>1000*(D44-1)</f>
        <v>-11.655348675866373</v>
      </c>
      <c r="E45" s="53">
        <f>E44*1000</f>
        <v>7.6558935314241312</v>
      </c>
      <c r="F45" s="55">
        <f>D45-2*D16</f>
        <v>-4.0419027975449051</v>
      </c>
      <c r="Q45" s="52" t="s">
        <v>127</v>
      </c>
      <c r="R45" s="53">
        <f>1000*(R44-1)</f>
        <v>-2.5679443204917884</v>
      </c>
      <c r="S45" s="53">
        <f>S44*1000</f>
        <v>7.9320694823975053</v>
      </c>
      <c r="T45" s="55">
        <f>R45-2*R16</f>
        <v>-2.6007744595186733</v>
      </c>
      <c r="AF45" s="52" t="s">
        <v>127</v>
      </c>
      <c r="AG45" s="53">
        <f>1000*(AG44-1)</f>
        <v>-9.3902818793141218</v>
      </c>
      <c r="AH45" s="53">
        <f>AH44*1000</f>
        <v>7.4607699050897089</v>
      </c>
      <c r="AI45" s="55">
        <f>AG45-2*AG16</f>
        <v>-9.4231120183410066</v>
      </c>
      <c r="AU45" s="52" t="s">
        <v>127</v>
      </c>
      <c r="AV45" s="53">
        <f>1000*(AV44-1)</f>
        <v>-2.03723934798683</v>
      </c>
      <c r="AW45" s="53">
        <f>AW44*1000</f>
        <v>8.3151526595250385</v>
      </c>
      <c r="AX45" s="55">
        <f>AV45-2*AV16</f>
        <v>8.5878070545684082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19145-8736-4946-B013-618B5169C93B}">
  <dimension ref="A1:AQ47"/>
  <sheetViews>
    <sheetView topLeftCell="AF13" zoomScale="112" workbookViewId="0">
      <selection activeCell="AH29" sqref="AH29"/>
    </sheetView>
  </sheetViews>
  <sheetFormatPr baseColWidth="10" defaultRowHeight="16"/>
  <cols>
    <col min="1" max="1" width="141.33203125" customWidth="1"/>
    <col min="3" max="3" width="17.1640625" customWidth="1"/>
    <col min="16" max="16" width="134.1640625" customWidth="1"/>
    <col min="18" max="18" width="13.5" customWidth="1"/>
    <col min="19" max="19" width="20.5" customWidth="1"/>
    <col min="31" max="31" width="135" customWidth="1"/>
    <col min="33" max="33" width="13.33203125" customWidth="1"/>
  </cols>
  <sheetData>
    <row r="1" spans="1:43" ht="24">
      <c r="A1" s="3" t="s">
        <v>129</v>
      </c>
      <c r="B1" s="3" t="s">
        <v>21</v>
      </c>
      <c r="D1" s="43">
        <f>'2x13C computation-v1'!B27</f>
        <v>-24.4</v>
      </c>
      <c r="E1" s="43">
        <f>'2x13C computation-v1'!C27</f>
        <v>0.56000000000000005</v>
      </c>
      <c r="Q1" s="6" t="s">
        <v>29</v>
      </c>
      <c r="S1" s="43">
        <f>'2x13C computation-v1'!B29</f>
        <v>-24.2</v>
      </c>
      <c r="T1" s="43">
        <f>'2x13C computation-v1'!C29</f>
        <v>0.42</v>
      </c>
      <c r="AG1" s="6" t="s">
        <v>30</v>
      </c>
      <c r="AH1" s="43">
        <f>'2x13C computation-v1'!B30</f>
        <v>-25.2</v>
      </c>
      <c r="AI1" s="43">
        <f>'2x13C computation-v1'!C30</f>
        <v>0.49</v>
      </c>
    </row>
    <row r="3" spans="1:43" s="4" customFormat="1" ht="24">
      <c r="A3" s="5" t="s">
        <v>22</v>
      </c>
    </row>
    <row r="4" spans="1:4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P4" s="1" t="s">
        <v>0</v>
      </c>
      <c r="Q4" s="1" t="s">
        <v>1</v>
      </c>
      <c r="R4" s="1" t="s">
        <v>2</v>
      </c>
      <c r="S4" s="1" t="s">
        <v>3</v>
      </c>
      <c r="T4" s="1" t="s">
        <v>4</v>
      </c>
      <c r="U4" s="1" t="s">
        <v>5</v>
      </c>
      <c r="V4" s="1" t="s">
        <v>6</v>
      </c>
      <c r="W4" s="1" t="s">
        <v>7</v>
      </c>
      <c r="X4" s="1" t="s">
        <v>8</v>
      </c>
      <c r="Y4" s="1" t="s">
        <v>9</v>
      </c>
      <c r="Z4" s="1" t="s">
        <v>10</v>
      </c>
      <c r="AA4" s="1" t="s">
        <v>11</v>
      </c>
      <c r="AB4" s="1" t="s">
        <v>12</v>
      </c>
      <c r="AE4" s="1" t="s">
        <v>0</v>
      </c>
      <c r="AF4" s="1" t="s">
        <v>1</v>
      </c>
      <c r="AG4" s="1" t="s">
        <v>2</v>
      </c>
      <c r="AH4" s="1" t="s">
        <v>3</v>
      </c>
      <c r="AI4" s="1" t="s">
        <v>4</v>
      </c>
      <c r="AJ4" s="1" t="s">
        <v>5</v>
      </c>
      <c r="AK4" s="1" t="s">
        <v>6</v>
      </c>
      <c r="AL4" s="1" t="s">
        <v>7</v>
      </c>
      <c r="AM4" s="1" t="s">
        <v>8</v>
      </c>
      <c r="AN4" s="1" t="s">
        <v>9</v>
      </c>
      <c r="AO4" s="1" t="s">
        <v>10</v>
      </c>
      <c r="AP4" s="1" t="s">
        <v>11</v>
      </c>
      <c r="AQ4" s="1" t="s">
        <v>12</v>
      </c>
    </row>
    <row r="5" spans="1:43">
      <c r="A5" s="1" t="s">
        <v>44</v>
      </c>
      <c r="B5" s="2">
        <v>178</v>
      </c>
      <c r="C5" s="2" t="s">
        <v>14</v>
      </c>
      <c r="D5" s="2">
        <v>0.14869641774466</v>
      </c>
      <c r="E5" s="2">
        <v>0.148646019232715</v>
      </c>
      <c r="F5" s="2">
        <v>6.1096332091668398E-3</v>
      </c>
      <c r="G5" s="2">
        <v>6.1096332091668403E-4</v>
      </c>
      <c r="H5" s="2">
        <v>4.1101895904806099E-3</v>
      </c>
      <c r="I5" s="2">
        <v>0.82054736560842301</v>
      </c>
      <c r="J5" s="2">
        <v>0.88531880433103805</v>
      </c>
      <c r="K5" s="2">
        <v>125418.21</v>
      </c>
      <c r="L5" s="2">
        <v>1003854.71258212</v>
      </c>
      <c r="M5" s="2">
        <v>2.9731689088286499E-3</v>
      </c>
      <c r="P5" s="1" t="s">
        <v>50</v>
      </c>
      <c r="Q5" s="2">
        <v>202</v>
      </c>
      <c r="R5" s="2" t="s">
        <v>14</v>
      </c>
      <c r="S5" s="2">
        <v>0.16898682319140501</v>
      </c>
      <c r="T5" s="2">
        <v>0.16948269149558701</v>
      </c>
      <c r="U5" s="2">
        <v>7.8709852231781691E-3</v>
      </c>
      <c r="V5" s="2">
        <v>7.7181360084972901E-4</v>
      </c>
      <c r="W5" s="2">
        <v>4.5539375970426203E-3</v>
      </c>
      <c r="X5" s="2">
        <v>0.89024407545751205</v>
      </c>
      <c r="Y5" s="2">
        <v>0.51320921016023602</v>
      </c>
      <c r="Z5" s="2">
        <v>115005.44230769201</v>
      </c>
      <c r="AA5" s="2">
        <v>929075.73631532805</v>
      </c>
      <c r="AB5" s="2">
        <v>2.95024196263125E-3</v>
      </c>
      <c r="AE5" s="1" t="s">
        <v>50</v>
      </c>
      <c r="AF5" s="2">
        <v>202</v>
      </c>
      <c r="AG5" s="2" t="s">
        <v>14</v>
      </c>
      <c r="AH5" s="2">
        <v>0.16849336950468299</v>
      </c>
      <c r="AI5" s="2">
        <v>0.16796206185392901</v>
      </c>
      <c r="AJ5" s="2">
        <v>7.3350396183042401E-3</v>
      </c>
      <c r="AK5" s="2">
        <v>6.9936858666873596E-4</v>
      </c>
      <c r="AL5" s="2">
        <v>4.1638485438274201E-3</v>
      </c>
      <c r="AM5" s="2">
        <v>0.93696535820883098</v>
      </c>
      <c r="AN5" s="2">
        <v>8.4221793991022906E-2</v>
      </c>
      <c r="AO5" s="2">
        <v>110719.872727273</v>
      </c>
      <c r="AP5" s="2">
        <v>941869.91365521296</v>
      </c>
      <c r="AQ5" s="2">
        <v>2.9331845078912002E-3</v>
      </c>
    </row>
    <row r="6" spans="1:43">
      <c r="A6" s="1" t="s">
        <v>45</v>
      </c>
      <c r="B6" s="2">
        <v>178</v>
      </c>
      <c r="C6" s="2" t="s">
        <v>14</v>
      </c>
      <c r="D6" s="2">
        <v>0.14697146752179699</v>
      </c>
      <c r="E6" s="2">
        <v>0.14895367890441399</v>
      </c>
      <c r="F6" s="2">
        <v>6.7924594474181796E-3</v>
      </c>
      <c r="G6" s="2">
        <v>7.8432565808530001E-4</v>
      </c>
      <c r="H6" s="2">
        <v>5.2655675499536699E-3</v>
      </c>
      <c r="I6" s="2">
        <v>0.70732531544383104</v>
      </c>
      <c r="J6" s="2">
        <v>6.9333690141680504E-2</v>
      </c>
      <c r="K6" s="2">
        <v>111629.89333333301</v>
      </c>
      <c r="L6" s="2">
        <v>708479.51134537498</v>
      </c>
      <c r="M6" s="2">
        <v>3.5544503432211401E-3</v>
      </c>
      <c r="P6" s="1" t="s">
        <v>51</v>
      </c>
      <c r="Q6" s="2">
        <v>202</v>
      </c>
      <c r="R6" s="2" t="s">
        <v>14</v>
      </c>
      <c r="S6" s="2">
        <v>0.168139989498922</v>
      </c>
      <c r="T6" s="2">
        <v>0.16771003844367</v>
      </c>
      <c r="U6" s="2">
        <v>8.0200345315102305E-3</v>
      </c>
      <c r="V6" s="2">
        <v>9.26073819135505E-4</v>
      </c>
      <c r="W6" s="2">
        <v>5.52187470547003E-3</v>
      </c>
      <c r="X6" s="2">
        <v>0.74414861574837099</v>
      </c>
      <c r="Y6" s="2">
        <v>9.7215401737880805E-2</v>
      </c>
      <c r="Z6" s="2">
        <v>111172.89333333301</v>
      </c>
      <c r="AA6" s="2">
        <v>657700.96766548895</v>
      </c>
      <c r="AB6" s="2">
        <v>3.51273302046827E-3</v>
      </c>
      <c r="AE6" s="1" t="s">
        <v>51</v>
      </c>
      <c r="AF6" s="2">
        <v>202</v>
      </c>
      <c r="AG6" s="2" t="s">
        <v>14</v>
      </c>
      <c r="AH6" s="2">
        <v>0.16816099054634601</v>
      </c>
      <c r="AI6" s="2">
        <v>0.16812249903380899</v>
      </c>
      <c r="AJ6" s="2">
        <v>7.6479204286774996E-3</v>
      </c>
      <c r="AK6" s="2">
        <v>9.0764116880805298E-4</v>
      </c>
      <c r="AL6" s="2">
        <v>5.3986894914376101E-3</v>
      </c>
      <c r="AM6" s="2">
        <v>0.73898036111984899</v>
      </c>
      <c r="AN6" s="2">
        <v>0.10183762139458</v>
      </c>
      <c r="AO6" s="2">
        <v>111456.76056338</v>
      </c>
      <c r="AP6" s="2">
        <v>605009.41484734905</v>
      </c>
      <c r="AQ6" s="2">
        <v>3.6623429015045098E-3</v>
      </c>
    </row>
    <row r="7" spans="1:43">
      <c r="A7" s="1" t="s">
        <v>46</v>
      </c>
      <c r="B7" s="2">
        <v>178</v>
      </c>
      <c r="C7" s="2" t="s">
        <v>14</v>
      </c>
      <c r="D7" s="2">
        <v>0.14722290648674899</v>
      </c>
      <c r="E7" s="2">
        <v>0.14838746273728801</v>
      </c>
      <c r="F7" s="2">
        <v>6.2648499559140201E-3</v>
      </c>
      <c r="G7" s="2">
        <v>7.1862757511248498E-4</v>
      </c>
      <c r="H7" s="2">
        <v>4.8429130187688301E-3</v>
      </c>
      <c r="I7" s="2">
        <v>0.71429514637643299</v>
      </c>
      <c r="J7" s="2">
        <v>6.98579653861022E-2</v>
      </c>
      <c r="K7" s="2">
        <v>112385.144736842</v>
      </c>
      <c r="L7" s="2">
        <v>726042.20823221502</v>
      </c>
      <c r="M7" s="2">
        <v>3.5089661744322699E-3</v>
      </c>
      <c r="P7" s="1" t="s">
        <v>52</v>
      </c>
      <c r="Q7" s="2">
        <v>202</v>
      </c>
      <c r="R7" s="2" t="s">
        <v>14</v>
      </c>
      <c r="S7" s="2">
        <v>0.168420489439597</v>
      </c>
      <c r="T7" s="2">
        <v>0.16912128673059301</v>
      </c>
      <c r="U7" s="2">
        <v>7.5417128018237202E-3</v>
      </c>
      <c r="V7" s="2">
        <v>8.7084198325675403E-4</v>
      </c>
      <c r="W7" s="2">
        <v>5.1492156906539502E-3</v>
      </c>
      <c r="X7" s="2">
        <v>0.74138285749968502</v>
      </c>
      <c r="Y7" s="2">
        <v>9.7754884139559697E-2</v>
      </c>
      <c r="Z7" s="2">
        <v>110796.74666666699</v>
      </c>
      <c r="AA7" s="2">
        <v>651754.35324024805</v>
      </c>
      <c r="AB7" s="2">
        <v>3.5266286495399799E-3</v>
      </c>
      <c r="AE7" s="1" t="s">
        <v>52</v>
      </c>
      <c r="AF7" s="2">
        <v>202</v>
      </c>
      <c r="AG7" s="2" t="s">
        <v>14</v>
      </c>
      <c r="AH7" s="2">
        <v>0.16882159115047099</v>
      </c>
      <c r="AI7" s="2">
        <v>0.16913796345347001</v>
      </c>
      <c r="AJ7" s="2">
        <v>8.8669653984871592E-3</v>
      </c>
      <c r="AK7" s="2">
        <v>1.03779980238733E-3</v>
      </c>
      <c r="AL7" s="2">
        <v>6.1358182468173803E-3</v>
      </c>
      <c r="AM7" s="2">
        <v>0.75867002342942702</v>
      </c>
      <c r="AN7" s="2">
        <v>0.10502208562787101</v>
      </c>
      <c r="AO7" s="2">
        <v>111568.068493151</v>
      </c>
      <c r="AP7" s="2">
        <v>622442.47104574705</v>
      </c>
      <c r="AQ7" s="2">
        <v>3.6056587534910099E-3</v>
      </c>
    </row>
    <row r="8" spans="1:43">
      <c r="A8" s="1" t="s">
        <v>47</v>
      </c>
      <c r="B8" s="2">
        <v>178</v>
      </c>
      <c r="C8" s="2" t="s">
        <v>14</v>
      </c>
      <c r="D8" s="2">
        <v>0.148400760398156</v>
      </c>
      <c r="E8" s="2">
        <v>0.14857667324235699</v>
      </c>
      <c r="F8" s="2">
        <v>6.3623330735177704E-3</v>
      </c>
      <c r="G8" s="2">
        <v>6.3943853321597299E-4</v>
      </c>
      <c r="H8" s="2">
        <v>4.3037612786828699E-3</v>
      </c>
      <c r="I8" s="2">
        <v>0.80400476865554305</v>
      </c>
      <c r="J8" s="2">
        <v>0.62964734671313005</v>
      </c>
      <c r="K8" s="2">
        <v>121008.808080808</v>
      </c>
      <c r="L8" s="2">
        <v>987784.93173036003</v>
      </c>
      <c r="M8" s="2">
        <v>2.99946783988025E-3</v>
      </c>
      <c r="P8" s="1" t="s">
        <v>53</v>
      </c>
      <c r="Q8" s="2">
        <v>202</v>
      </c>
      <c r="R8" s="2" t="s">
        <v>14</v>
      </c>
      <c r="S8" s="2">
        <v>0.16927250788939899</v>
      </c>
      <c r="T8" s="2">
        <v>0.17026121661379301</v>
      </c>
      <c r="U8" s="2">
        <v>6.0418032102770103E-3</v>
      </c>
      <c r="V8" s="2">
        <v>5.7606333325830499E-4</v>
      </c>
      <c r="W8" s="2">
        <v>3.3834090036194298E-3</v>
      </c>
      <c r="X8" s="2">
        <v>0.91237272195439501</v>
      </c>
      <c r="Y8" s="2">
        <v>0.44466622627003699</v>
      </c>
      <c r="Z8" s="2">
        <v>114282.836363636</v>
      </c>
      <c r="AA8" s="2">
        <v>980762.83609691705</v>
      </c>
      <c r="AB8" s="2">
        <v>2.86972660384089E-3</v>
      </c>
      <c r="AE8" s="1" t="s">
        <v>53</v>
      </c>
      <c r="AF8" s="2">
        <v>202</v>
      </c>
      <c r="AG8" s="2" t="s">
        <v>14</v>
      </c>
      <c r="AH8" s="2">
        <v>0.170265088986503</v>
      </c>
      <c r="AI8" s="2">
        <v>0.17015839583664899</v>
      </c>
      <c r="AJ8" s="2">
        <v>6.3652397495905901E-3</v>
      </c>
      <c r="AK8" s="2">
        <v>5.6932435092673197E-4</v>
      </c>
      <c r="AL8" s="2">
        <v>3.34584930780189E-3</v>
      </c>
      <c r="AM8" s="2">
        <v>0.98555758740091604</v>
      </c>
      <c r="AN8" s="2">
        <v>7.8733957066931107E-2</v>
      </c>
      <c r="AO8" s="2">
        <v>110652.82399999999</v>
      </c>
      <c r="AP8" s="2">
        <v>1073621.4731342101</v>
      </c>
      <c r="AQ8" s="2">
        <v>2.7371326808259301E-3</v>
      </c>
    </row>
    <row r="9" spans="1:43">
      <c r="A9" s="1" t="s">
        <v>48</v>
      </c>
      <c r="B9" s="2">
        <v>178</v>
      </c>
      <c r="C9" s="2" t="s">
        <v>14</v>
      </c>
      <c r="D9" s="2">
        <v>0.14748058188869301</v>
      </c>
      <c r="E9" s="2">
        <v>0.14810377050511001</v>
      </c>
      <c r="F9" s="2">
        <v>7.3401074882271499E-3</v>
      </c>
      <c r="G9" s="2">
        <v>8.3648288063407103E-4</v>
      </c>
      <c r="H9" s="2">
        <v>5.6479512829500002E-3</v>
      </c>
      <c r="I9" s="2">
        <v>0.70449365182121804</v>
      </c>
      <c r="J9" s="2">
        <v>7.5742811792275905E-2</v>
      </c>
      <c r="K9" s="2">
        <v>113642.93506493499</v>
      </c>
      <c r="L9" s="2">
        <v>741162.69786142197</v>
      </c>
      <c r="M9" s="2">
        <v>3.4707325354959699E-3</v>
      </c>
      <c r="P9" s="1" t="s">
        <v>54</v>
      </c>
      <c r="Q9" s="2">
        <v>202</v>
      </c>
      <c r="R9" s="2" t="s">
        <v>14</v>
      </c>
      <c r="S9" s="2">
        <v>0.16815583623539301</v>
      </c>
      <c r="T9" s="2">
        <v>0.16757639439244101</v>
      </c>
      <c r="U9" s="2">
        <v>7.8881232625697805E-3</v>
      </c>
      <c r="V9" s="2">
        <v>9.0482979357194699E-4</v>
      </c>
      <c r="W9" s="2">
        <v>5.3995062780319899E-3</v>
      </c>
      <c r="X9" s="2">
        <v>0.75322181214828499</v>
      </c>
      <c r="Y9" s="2">
        <v>9.6475146523273797E-2</v>
      </c>
      <c r="Z9" s="2">
        <v>111140.01315789499</v>
      </c>
      <c r="AA9" s="2">
        <v>662412.28713151801</v>
      </c>
      <c r="AB9" s="2">
        <v>3.5001013552578299E-3</v>
      </c>
      <c r="AE9" s="1" t="s">
        <v>54</v>
      </c>
      <c r="AF9" s="2">
        <v>202</v>
      </c>
      <c r="AG9" s="2" t="s">
        <v>14</v>
      </c>
      <c r="AH9" s="2">
        <v>0.168673946822399</v>
      </c>
      <c r="AI9" s="2">
        <v>0.17003971026188999</v>
      </c>
      <c r="AJ9" s="2">
        <v>8.9878122619850998E-3</v>
      </c>
      <c r="AK9" s="2">
        <v>1.05922383308021E-3</v>
      </c>
      <c r="AL9" s="2">
        <v>6.2292733353216502E-3</v>
      </c>
      <c r="AM9" s="2">
        <v>0.74849313869373701</v>
      </c>
      <c r="AN9" s="2">
        <v>0.101712672349247</v>
      </c>
      <c r="AO9" s="2">
        <v>111383.347222222</v>
      </c>
      <c r="AP9" s="2">
        <v>612021.53835780697</v>
      </c>
      <c r="AQ9" s="2">
        <v>3.6373576483977898E-3</v>
      </c>
    </row>
    <row r="10" spans="1:43">
      <c r="A10" s="1" t="s">
        <v>49</v>
      </c>
      <c r="B10" s="2">
        <v>178</v>
      </c>
      <c r="C10" s="2" t="s">
        <v>14</v>
      </c>
      <c r="D10" s="2">
        <v>0.14794629924972499</v>
      </c>
      <c r="E10" s="2">
        <v>0.14947107150785999</v>
      </c>
      <c r="F10" s="2">
        <v>7.3873908433266904E-3</v>
      </c>
      <c r="G10" s="2">
        <v>7.5793030836452801E-4</v>
      </c>
      <c r="H10" s="2">
        <v>5.0707491470995004E-3</v>
      </c>
      <c r="I10" s="2">
        <v>0.78589178767079804</v>
      </c>
      <c r="J10" s="2">
        <v>0.55878754271463005</v>
      </c>
      <c r="K10" s="2">
        <v>119514.968421053</v>
      </c>
      <c r="L10" s="2">
        <v>936326.829833047</v>
      </c>
      <c r="M10" s="2">
        <v>3.0842941152730498E-3</v>
      </c>
      <c r="P10" s="1" t="s">
        <v>55</v>
      </c>
      <c r="Q10" s="2">
        <v>202</v>
      </c>
      <c r="R10" s="2" t="s">
        <v>14</v>
      </c>
      <c r="S10" s="2">
        <v>0.16911899311616899</v>
      </c>
      <c r="T10" s="2">
        <v>0.16959305255384699</v>
      </c>
      <c r="U10" s="2">
        <v>7.4798721772977401E-3</v>
      </c>
      <c r="V10" s="2">
        <v>7.2650940980487403E-4</v>
      </c>
      <c r="W10" s="2">
        <v>4.2838394548868697E-3</v>
      </c>
      <c r="X10" s="2">
        <v>0.89749631646452799</v>
      </c>
      <c r="Y10" s="2">
        <v>8.6393245513741598E-2</v>
      </c>
      <c r="Z10" s="2">
        <v>110681.86792452799</v>
      </c>
      <c r="AA10" s="2">
        <v>925946.07874235394</v>
      </c>
      <c r="AB10" s="2">
        <v>2.9544025901503601E-3</v>
      </c>
      <c r="AE10" s="1" t="s">
        <v>55</v>
      </c>
      <c r="AF10" s="2">
        <v>202</v>
      </c>
      <c r="AG10" s="2" t="s">
        <v>14</v>
      </c>
      <c r="AH10" s="2">
        <v>0.17029689742547699</v>
      </c>
      <c r="AI10" s="2">
        <v>0.17030403080440901</v>
      </c>
      <c r="AJ10" s="2">
        <v>7.0453970475541699E-3</v>
      </c>
      <c r="AK10" s="2">
        <v>6.5414869366858699E-4</v>
      </c>
      <c r="AL10" s="2">
        <v>3.8410640698214901E-3</v>
      </c>
      <c r="AM10" s="2">
        <v>0.96214773378162599</v>
      </c>
      <c r="AN10" s="2">
        <v>7.9608951005898404E-2</v>
      </c>
      <c r="AO10" s="2">
        <v>110547.784482759</v>
      </c>
      <c r="AP10" s="2">
        <v>995806.18653948396</v>
      </c>
      <c r="AQ10" s="2">
        <v>2.84187699064592E-3</v>
      </c>
    </row>
    <row r="11" spans="1:43">
      <c r="A11" s="1"/>
      <c r="B11" s="2"/>
      <c r="C11" s="48"/>
      <c r="D11" s="49" t="s">
        <v>123</v>
      </c>
      <c r="E11" s="49" t="s">
        <v>124</v>
      </c>
      <c r="F11" s="2"/>
      <c r="G11" s="2"/>
      <c r="H11" s="2"/>
      <c r="I11" s="2"/>
      <c r="J11" s="2"/>
      <c r="K11" s="2"/>
      <c r="L11" s="2"/>
      <c r="M11" s="2"/>
      <c r="P11" s="1"/>
      <c r="Q11" s="2"/>
      <c r="R11" s="48"/>
      <c r="S11" s="49" t="s">
        <v>123</v>
      </c>
      <c r="T11" s="49" t="s">
        <v>124</v>
      </c>
      <c r="U11" s="2"/>
      <c r="V11" s="2"/>
      <c r="W11" s="2"/>
      <c r="X11" s="2"/>
      <c r="Y11" s="2"/>
      <c r="Z11" s="2"/>
      <c r="AA11" s="2"/>
      <c r="AB11" s="2"/>
      <c r="AE11" s="1"/>
      <c r="AF11" s="2"/>
      <c r="AG11" s="48"/>
      <c r="AH11" s="49" t="s">
        <v>123</v>
      </c>
      <c r="AI11" s="49" t="s">
        <v>124</v>
      </c>
      <c r="AJ11" s="2"/>
      <c r="AK11" s="2"/>
      <c r="AL11" s="2"/>
      <c r="AM11" s="2"/>
      <c r="AN11" s="2"/>
      <c r="AO11" s="2"/>
      <c r="AP11" s="2"/>
      <c r="AQ11" s="2"/>
    </row>
    <row r="12" spans="1:43">
      <c r="C12" s="50" t="s">
        <v>118</v>
      </c>
      <c r="D12" s="51">
        <f>AVERAGE(D6,D7,D9)</f>
        <v>0.14722498529907965</v>
      </c>
      <c r="E12" s="51">
        <f>SQRT(1/SUM((1/M6^2)+(1/M7^2)+(1/M9^2)))</f>
        <v>2.0270095038039367E-3</v>
      </c>
      <c r="R12" s="50" t="s">
        <v>118</v>
      </c>
      <c r="S12" s="51">
        <f>AVERAGE(S6,S7,S9)</f>
        <v>0.16823877172463733</v>
      </c>
      <c r="T12" s="51">
        <f>SQRT(1/SUM((1/AB6^2)+(1/AB7^2)+(1/AB9^2)))</f>
        <v>2.0282916785725105E-3</v>
      </c>
      <c r="AG12" s="50" t="s">
        <v>118</v>
      </c>
      <c r="AH12" s="51">
        <f>AVERAGE(AH6,AH7,AH9)</f>
        <v>0.16855217617307203</v>
      </c>
      <c r="AI12" s="51">
        <f>SQRT(1/SUM((1/AQ6^2)+(1/AQ7^2)+(1/AQ9^2)))</f>
        <v>2.0986090413896881E-3</v>
      </c>
    </row>
    <row r="13" spans="1:43">
      <c r="C13" s="50" t="s">
        <v>119</v>
      </c>
      <c r="D13" s="51">
        <f>AVERAGE(D5,D8,D10)</f>
        <v>0.14834782579751368</v>
      </c>
      <c r="E13" s="51">
        <f>SQRT(1/SUM((1/M5^2)+(1/M8^2)+(1/M10^2)))</f>
        <v>1.7423695234668999E-3</v>
      </c>
      <c r="R13" s="50" t="s">
        <v>119</v>
      </c>
      <c r="S13" s="51">
        <f>AVERAGE(S5,S8,S10)</f>
        <v>0.16912610806565764</v>
      </c>
      <c r="T13" s="51">
        <f>SQRT(1/SUM((1/AB5^2)+(1/AB8^2)+(1/AB10^2)))</f>
        <v>1.6881731531198051E-3</v>
      </c>
      <c r="AG13" s="50" t="s">
        <v>119</v>
      </c>
      <c r="AH13" s="51">
        <f>AVERAGE(AH5,AH8,AH10)</f>
        <v>0.16968511863888769</v>
      </c>
      <c r="AI13" s="51">
        <f>SQRT(1/SUM((1/AQ5^2)+(1/AQ8^2)+(1/AQ10^2)))</f>
        <v>1.6362076728107301E-3</v>
      </c>
    </row>
    <row r="14" spans="1:43">
      <c r="C14" s="50" t="s">
        <v>120</v>
      </c>
      <c r="D14" s="51">
        <f>D12/D13</f>
        <v>0.99243102827832042</v>
      </c>
      <c r="E14" s="51">
        <f>SQRT(E12^2+E13^2)</f>
        <v>2.6729420279567894E-3</v>
      </c>
      <c r="R14" s="50" t="s">
        <v>120</v>
      </c>
      <c r="S14" s="51">
        <f>S12/S13</f>
        <v>0.99475340412447832</v>
      </c>
      <c r="T14" s="51">
        <f>SQRT(T12^2+T13^2)</f>
        <v>2.6389194243631154E-3</v>
      </c>
      <c r="AG14" s="50" t="s">
        <v>120</v>
      </c>
      <c r="AH14" s="51">
        <f>AH12/AH13</f>
        <v>0.99332326561749529</v>
      </c>
      <c r="AI14" s="51">
        <f>SQRT(AI12^2+AI13^2)</f>
        <v>2.6610778750662768E-3</v>
      </c>
    </row>
    <row r="15" spans="1:43">
      <c r="C15" s="50" t="s">
        <v>121</v>
      </c>
      <c r="D15" s="51">
        <f>(D14-1)*1000</f>
        <v>-7.5689717216795849</v>
      </c>
      <c r="E15" s="51">
        <f>E14*1000</f>
        <v>2.6729420279567893</v>
      </c>
      <c r="R15" s="50" t="s">
        <v>121</v>
      </c>
      <c r="S15" s="51">
        <f>(S14-1)*1000</f>
        <v>-5.2465958755216757</v>
      </c>
      <c r="T15" s="51">
        <f>T14*1000</f>
        <v>2.6389194243631153</v>
      </c>
      <c r="AG15" s="50" t="s">
        <v>121</v>
      </c>
      <c r="AH15" s="51">
        <f>(AH14-1)*1000</f>
        <v>-6.6767343825047121</v>
      </c>
      <c r="AI15" s="51">
        <f>AI14*1000</f>
        <v>2.6610778750662769</v>
      </c>
    </row>
    <row r="16" spans="1:43">
      <c r="C16" s="50" t="s">
        <v>122</v>
      </c>
      <c r="D16" s="51">
        <f>1000*((((D1/1000)+1)*D14)-1)</f>
        <v>-31.784288811670613</v>
      </c>
      <c r="E16" s="51">
        <f>SQRT(E15^2+E1^2)</f>
        <v>2.7309740176020996</v>
      </c>
      <c r="R16" s="50" t="s">
        <v>122</v>
      </c>
      <c r="S16" s="51">
        <f>1000*((((S1/1000)+1)*S14)-1)</f>
        <v>-29.319628255334074</v>
      </c>
      <c r="T16" s="51">
        <f>SQRT(T15^2+T1^2)</f>
        <v>2.6721331793683034</v>
      </c>
      <c r="AG16" s="50" t="s">
        <v>122</v>
      </c>
      <c r="AH16" s="51">
        <f>1000*((((AH1/1000)+1)*AH14)-1)</f>
        <v>-31.708480676065577</v>
      </c>
      <c r="AI16" s="51">
        <f>SQRT(AI15^2+AI1^2)</f>
        <v>2.705815118807501</v>
      </c>
    </row>
    <row r="17" spans="1:43">
      <c r="C17" s="76" t="s">
        <v>265</v>
      </c>
      <c r="D17" s="77">
        <f>'Karp 2020 vals'!E18</f>
        <v>-26.809333330000001</v>
      </c>
      <c r="E17" s="77">
        <f>'Karp 2020 vals'!F18</f>
        <v>0.14749538599186407</v>
      </c>
      <c r="R17" s="76" t="s">
        <v>265</v>
      </c>
      <c r="S17" s="77">
        <f>'Karp 2020 vals'!G18</f>
        <v>-28.068666669999999</v>
      </c>
      <c r="T17" s="77">
        <f>'Karp 2020 vals'!H18</f>
        <v>7.0381500094524777E-2</v>
      </c>
      <c r="AG17" s="76" t="s">
        <v>265</v>
      </c>
      <c r="AH17" s="77">
        <f>'Karp 2020 vals'!I18</f>
        <v>-26.829333330000001</v>
      </c>
      <c r="AI17" s="77">
        <f>'Karp 2020 vals'!J18</f>
        <v>5.4063748379935481E-2</v>
      </c>
    </row>
    <row r="18" spans="1:43">
      <c r="C18" s="1"/>
      <c r="R18" s="1"/>
      <c r="AG18" s="1"/>
    </row>
    <row r="19" spans="1:43">
      <c r="A19" s="1" t="s">
        <v>44</v>
      </c>
      <c r="B19" s="2">
        <v>178</v>
      </c>
      <c r="C19" s="2" t="s">
        <v>20</v>
      </c>
      <c r="D19" s="2">
        <v>9.6047109929510693E-3</v>
      </c>
      <c r="E19" s="2">
        <v>9.5380698715738406E-3</v>
      </c>
      <c r="F19" s="2">
        <v>1.3086686928416599E-3</v>
      </c>
      <c r="G19" s="2">
        <v>1.3086686928416599E-4</v>
      </c>
      <c r="H19" s="2">
        <v>1.37204771034638E-2</v>
      </c>
      <c r="I19" s="2">
        <v>0.82054736560842301</v>
      </c>
      <c r="J19" s="2">
        <v>0.88531880433103805</v>
      </c>
      <c r="K19" s="2">
        <v>125418.21</v>
      </c>
      <c r="L19" s="2">
        <v>882301.39079328906</v>
      </c>
      <c r="M19" s="2">
        <v>1.09673255673489E-2</v>
      </c>
      <c r="P19" s="1" t="s">
        <v>50</v>
      </c>
      <c r="Q19" s="2">
        <v>202</v>
      </c>
      <c r="R19" s="2" t="s">
        <v>20</v>
      </c>
      <c r="S19" s="2">
        <v>1.28382195881406E-2</v>
      </c>
      <c r="T19" s="2">
        <v>1.2839305210743101E-2</v>
      </c>
      <c r="U19" s="2">
        <v>1.5847858334541299E-3</v>
      </c>
      <c r="V19" s="2">
        <v>1.55401036339385E-4</v>
      </c>
      <c r="W19" s="2">
        <v>1.21035393885142E-2</v>
      </c>
      <c r="X19" s="2">
        <v>0.89024407545751205</v>
      </c>
      <c r="Y19" s="2">
        <v>0.51320921016023602</v>
      </c>
      <c r="Z19" s="2">
        <v>115005.44230769201</v>
      </c>
      <c r="AA19" s="2">
        <v>804973.50009742705</v>
      </c>
      <c r="AB19" s="2">
        <v>9.9631550619510099E-3</v>
      </c>
      <c r="AE19" s="1" t="s">
        <v>50</v>
      </c>
      <c r="AF19" s="2">
        <v>202</v>
      </c>
      <c r="AG19" s="2" t="s">
        <v>20</v>
      </c>
      <c r="AH19" s="2">
        <v>1.25529902775208E-2</v>
      </c>
      <c r="AI19" s="2">
        <v>1.2211506393535399E-2</v>
      </c>
      <c r="AJ19" s="2">
        <v>1.4531558030202001E-3</v>
      </c>
      <c r="AK19" s="2">
        <v>1.3855296945249E-4</v>
      </c>
      <c r="AL19" s="2">
        <v>1.1346099734741801E-2</v>
      </c>
      <c r="AM19" s="2">
        <v>0.93696535820883098</v>
      </c>
      <c r="AN19" s="2">
        <v>8.4221793991022906E-2</v>
      </c>
      <c r="AO19" s="2">
        <v>110719.872727273</v>
      </c>
      <c r="AP19" s="2">
        <v>816173.39251850604</v>
      </c>
      <c r="AQ19" s="2">
        <v>1.00035223794294E-2</v>
      </c>
    </row>
    <row r="20" spans="1:43">
      <c r="A20" s="1" t="s">
        <v>45</v>
      </c>
      <c r="B20" s="2">
        <v>178</v>
      </c>
      <c r="C20" s="2" t="s">
        <v>20</v>
      </c>
      <c r="D20" s="2">
        <v>9.3924787025771103E-3</v>
      </c>
      <c r="E20" s="2">
        <v>9.5130913041842208E-3</v>
      </c>
      <c r="F20" s="2">
        <v>1.25394408295208E-3</v>
      </c>
      <c r="G20" s="2">
        <v>1.4479299076822401E-4</v>
      </c>
      <c r="H20" s="2">
        <v>1.52203932600267E-2</v>
      </c>
      <c r="I20" s="2">
        <v>0.70732531544383104</v>
      </c>
      <c r="J20" s="2">
        <v>6.9333690141680504E-2</v>
      </c>
      <c r="K20" s="2">
        <v>111629.89333333301</v>
      </c>
      <c r="L20" s="2">
        <v>623497.54140968504</v>
      </c>
      <c r="M20" s="2">
        <v>1.3190236491645E-2</v>
      </c>
      <c r="P20" s="1" t="s">
        <v>51</v>
      </c>
      <c r="Q20" s="2">
        <v>202</v>
      </c>
      <c r="R20" s="2" t="s">
        <v>20</v>
      </c>
      <c r="S20" s="2">
        <v>1.2333476922898001E-2</v>
      </c>
      <c r="T20" s="2">
        <v>1.23009958174568E-2</v>
      </c>
      <c r="U20" s="2">
        <v>1.4253136926476199E-3</v>
      </c>
      <c r="V20" s="2">
        <v>1.64581048825952E-4</v>
      </c>
      <c r="W20" s="2">
        <v>1.33794898614948E-2</v>
      </c>
      <c r="X20" s="2">
        <v>0.74414861574837099</v>
      </c>
      <c r="Y20" s="2">
        <v>9.7215401737880805E-2</v>
      </c>
      <c r="Z20" s="2">
        <v>111172.89333333301</v>
      </c>
      <c r="AA20" s="2">
        <v>569976.81216098205</v>
      </c>
      <c r="AB20" s="2">
        <v>1.2074029761238799E-2</v>
      </c>
      <c r="AE20" s="1" t="s">
        <v>51</v>
      </c>
      <c r="AF20" s="2">
        <v>202</v>
      </c>
      <c r="AG20" s="2" t="s">
        <v>20</v>
      </c>
      <c r="AH20" s="2">
        <v>1.2520474821813E-2</v>
      </c>
      <c r="AI20" s="2">
        <v>1.22038923241263E-2</v>
      </c>
      <c r="AJ20" s="2">
        <v>1.60990871719266E-3</v>
      </c>
      <c r="AK20" s="2">
        <v>1.9106101369306401E-4</v>
      </c>
      <c r="AL20" s="2">
        <v>1.56557439723841E-2</v>
      </c>
      <c r="AM20" s="2">
        <v>0.73898036111984899</v>
      </c>
      <c r="AN20" s="2">
        <v>0.10183762139458</v>
      </c>
      <c r="AO20" s="2">
        <v>111456.76056338</v>
      </c>
      <c r="AP20" s="2">
        <v>524400.68188409705</v>
      </c>
      <c r="AQ20" s="2">
        <v>1.24957345454863E-2</v>
      </c>
    </row>
    <row r="21" spans="1:43">
      <c r="A21" s="1" t="s">
        <v>46</v>
      </c>
      <c r="B21" s="2">
        <v>178</v>
      </c>
      <c r="C21" s="2" t="s">
        <v>20</v>
      </c>
      <c r="D21" s="2">
        <v>9.7453294787894808E-3</v>
      </c>
      <c r="E21" s="2">
        <v>1.0085035340307399E-2</v>
      </c>
      <c r="F21" s="2">
        <v>1.5385642425454801E-3</v>
      </c>
      <c r="G21" s="2">
        <v>1.7648542240528801E-4</v>
      </c>
      <c r="H21" s="2">
        <v>1.7499732668255399E-2</v>
      </c>
      <c r="I21" s="2">
        <v>0.71429514637643299</v>
      </c>
      <c r="J21" s="2">
        <v>6.98579653861022E-2</v>
      </c>
      <c r="K21" s="2">
        <v>112385.144736842</v>
      </c>
      <c r="L21" s="2">
        <v>639036.86425861495</v>
      </c>
      <c r="M21" s="2">
        <v>1.27953047364731E-2</v>
      </c>
      <c r="P21" s="1" t="s">
        <v>52</v>
      </c>
      <c r="Q21" s="2">
        <v>202</v>
      </c>
      <c r="R21" s="2" t="s">
        <v>20</v>
      </c>
      <c r="S21" s="2">
        <v>1.2087561284279499E-2</v>
      </c>
      <c r="T21" s="2">
        <v>1.2113874376645699E-2</v>
      </c>
      <c r="U21" s="2">
        <v>1.65483477096328E-3</v>
      </c>
      <c r="V21" s="2">
        <v>1.91083860096001E-4</v>
      </c>
      <c r="W21" s="2">
        <v>1.5773967448795001E-2</v>
      </c>
      <c r="X21" s="2">
        <v>0.74138285749968502</v>
      </c>
      <c r="Y21" s="2">
        <v>9.7754884139559697E-2</v>
      </c>
      <c r="Z21" s="2">
        <v>110796.74666666699</v>
      </c>
      <c r="AA21" s="2">
        <v>564550.58764307701</v>
      </c>
      <c r="AB21" s="2">
        <v>1.22517269974372E-2</v>
      </c>
      <c r="AE21" s="1" t="s">
        <v>52</v>
      </c>
      <c r="AF21" s="2">
        <v>202</v>
      </c>
      <c r="AG21" s="2" t="s">
        <v>20</v>
      </c>
      <c r="AH21" s="2">
        <v>1.28351714996308E-2</v>
      </c>
      <c r="AI21" s="2">
        <v>1.27225967923993E-2</v>
      </c>
      <c r="AJ21" s="2">
        <v>1.7113975721867901E-3</v>
      </c>
      <c r="AK21" s="2">
        <v>2.00303935157415E-4</v>
      </c>
      <c r="AL21" s="2">
        <v>1.57439505806771E-2</v>
      </c>
      <c r="AM21" s="2">
        <v>0.75867002342942702</v>
      </c>
      <c r="AN21" s="2">
        <v>0.10502208562787101</v>
      </c>
      <c r="AO21" s="2">
        <v>111568.068493151</v>
      </c>
      <c r="AP21" s="2">
        <v>539373.70055744704</v>
      </c>
      <c r="AQ21" s="2">
        <v>1.21728719281131E-2</v>
      </c>
    </row>
    <row r="22" spans="1:43">
      <c r="A22" s="1" t="s">
        <v>47</v>
      </c>
      <c r="B22" s="2">
        <v>178</v>
      </c>
      <c r="C22" s="2" t="s">
        <v>20</v>
      </c>
      <c r="D22" s="2">
        <v>9.5184106972877203E-3</v>
      </c>
      <c r="E22" s="2">
        <v>9.5465066780200895E-3</v>
      </c>
      <c r="F22" s="2">
        <v>1.1579301012093199E-3</v>
      </c>
      <c r="G22" s="2">
        <v>1.1637635391423001E-4</v>
      </c>
      <c r="H22" s="2">
        <v>1.2190464830677299E-2</v>
      </c>
      <c r="I22" s="2">
        <v>0.80400476865554305</v>
      </c>
      <c r="J22" s="2">
        <v>0.62964734671313005</v>
      </c>
      <c r="K22" s="2">
        <v>121008.808080808</v>
      </c>
      <c r="L22" s="2">
        <v>868326.72772302304</v>
      </c>
      <c r="M22" s="2">
        <v>1.11042808956744E-2</v>
      </c>
      <c r="P22" s="1" t="s">
        <v>53</v>
      </c>
      <c r="Q22" s="2">
        <v>202</v>
      </c>
      <c r="R22" s="2" t="s">
        <v>20</v>
      </c>
      <c r="S22" s="2">
        <v>1.2633347882231E-2</v>
      </c>
      <c r="T22" s="2">
        <v>1.2937618910345301E-2</v>
      </c>
      <c r="U22" s="2">
        <v>1.42952070805694E-3</v>
      </c>
      <c r="V22" s="2">
        <v>1.3629945156841701E-4</v>
      </c>
      <c r="W22" s="2">
        <v>1.05351264798369E-2</v>
      </c>
      <c r="X22" s="2">
        <v>0.91237272195439501</v>
      </c>
      <c r="Y22" s="2">
        <v>0.44466622627003699</v>
      </c>
      <c r="Z22" s="2">
        <v>114282.836363636</v>
      </c>
      <c r="AA22" s="2">
        <v>849376.98226394504</v>
      </c>
      <c r="AB22" s="2">
        <v>9.7755849454737604E-3</v>
      </c>
      <c r="AE22" s="1" t="s">
        <v>53</v>
      </c>
      <c r="AF22" s="2">
        <v>202</v>
      </c>
      <c r="AG22" s="2" t="s">
        <v>20</v>
      </c>
      <c r="AH22" s="2">
        <v>1.2680560313835101E-2</v>
      </c>
      <c r="AI22" s="2">
        <v>1.2668156550730799E-2</v>
      </c>
      <c r="AJ22" s="2">
        <v>1.57259988883176E-3</v>
      </c>
      <c r="AK22" s="2">
        <v>1.4065761011345699E-4</v>
      </c>
      <c r="AL22" s="2">
        <v>1.11032421765693E-2</v>
      </c>
      <c r="AM22" s="2">
        <v>0.98555758740091604</v>
      </c>
      <c r="AN22" s="2">
        <v>7.8733957066931107E-2</v>
      </c>
      <c r="AO22" s="2">
        <v>110652.82399999999</v>
      </c>
      <c r="AP22" s="2">
        <v>929050.69561641698</v>
      </c>
      <c r="AQ22" s="2">
        <v>9.3300408400836306E-3</v>
      </c>
    </row>
    <row r="23" spans="1:43">
      <c r="A23" s="1" t="s">
        <v>48</v>
      </c>
      <c r="B23" s="2">
        <v>178</v>
      </c>
      <c r="C23" s="2" t="s">
        <v>20</v>
      </c>
      <c r="D23" s="2">
        <v>9.5589398964738993E-3</v>
      </c>
      <c r="E23" s="2">
        <v>9.7442203517657307E-3</v>
      </c>
      <c r="F23" s="2">
        <v>1.6127882602099701E-3</v>
      </c>
      <c r="G23" s="2">
        <v>1.8379427984086401E-4</v>
      </c>
      <c r="H23" s="2">
        <v>1.8861876395022199E-2</v>
      </c>
      <c r="I23" s="2">
        <v>0.70449365182121804</v>
      </c>
      <c r="J23" s="2">
        <v>7.5742811792275905E-2</v>
      </c>
      <c r="K23" s="2">
        <v>113642.93506493499</v>
      </c>
      <c r="L23" s="2">
        <v>652078.50952232303</v>
      </c>
      <c r="M23" s="2">
        <v>1.27872415706587E-2</v>
      </c>
      <c r="P23" s="1" t="s">
        <v>54</v>
      </c>
      <c r="Q23" s="2">
        <v>202</v>
      </c>
      <c r="R23" s="2" t="s">
        <v>20</v>
      </c>
      <c r="S23" s="2">
        <v>1.2395310729404399E-2</v>
      </c>
      <c r="T23" s="2">
        <v>1.24252095381511E-2</v>
      </c>
      <c r="U23" s="2">
        <v>1.63097731176461E-3</v>
      </c>
      <c r="V23" s="2">
        <v>1.8708592845235699E-4</v>
      </c>
      <c r="W23" s="2">
        <v>1.50569636574672E-2</v>
      </c>
      <c r="X23" s="2">
        <v>0.75322181214828499</v>
      </c>
      <c r="Y23" s="2">
        <v>9.6475146523273797E-2</v>
      </c>
      <c r="Z23" s="2">
        <v>111140.01315789499</v>
      </c>
      <c r="AA23" s="2">
        <v>574087.011731843</v>
      </c>
      <c r="AB23" s="2">
        <v>1.20014178042762E-2</v>
      </c>
      <c r="AE23" s="1" t="s">
        <v>54</v>
      </c>
      <c r="AF23" s="2">
        <v>202</v>
      </c>
      <c r="AG23" s="2" t="s">
        <v>20</v>
      </c>
      <c r="AH23" s="2">
        <v>1.27740942308389E-2</v>
      </c>
      <c r="AI23" s="2">
        <v>1.26719128608444E-2</v>
      </c>
      <c r="AJ23" s="2">
        <v>1.6279004827569399E-3</v>
      </c>
      <c r="AK23" s="2">
        <v>1.9184991174238099E-4</v>
      </c>
      <c r="AL23" s="2">
        <v>1.5139775174369201E-2</v>
      </c>
      <c r="AM23" s="2">
        <v>0.74849313869373701</v>
      </c>
      <c r="AN23" s="2">
        <v>0.101712672349247</v>
      </c>
      <c r="AO23" s="2">
        <v>111383.347222222</v>
      </c>
      <c r="AP23" s="2">
        <v>530378.52075459005</v>
      </c>
      <c r="AQ23" s="2">
        <v>1.23042334475416E-2</v>
      </c>
    </row>
    <row r="24" spans="1:43">
      <c r="A24" s="1" t="s">
        <v>49</v>
      </c>
      <c r="B24" s="2">
        <v>178</v>
      </c>
      <c r="C24" s="2" t="s">
        <v>20</v>
      </c>
      <c r="D24" s="2">
        <v>9.5755695761182997E-3</v>
      </c>
      <c r="E24" s="2">
        <v>9.5493374891416002E-3</v>
      </c>
      <c r="F24" s="2">
        <v>1.1859619993662099E-3</v>
      </c>
      <c r="G24" s="2">
        <v>1.21677133774535E-4</v>
      </c>
      <c r="H24" s="2">
        <v>1.27419450734559E-2</v>
      </c>
      <c r="I24" s="2">
        <v>0.78589178767079804</v>
      </c>
      <c r="J24" s="2">
        <v>0.55878754271463005</v>
      </c>
      <c r="K24" s="2">
        <v>119514.968421053</v>
      </c>
      <c r="L24" s="2">
        <v>823464.21009059798</v>
      </c>
      <c r="M24" s="2">
        <v>1.1369311363946999E-2</v>
      </c>
      <c r="P24" s="1" t="s">
        <v>55</v>
      </c>
      <c r="Q24" s="2">
        <v>202</v>
      </c>
      <c r="R24" s="2" t="s">
        <v>20</v>
      </c>
      <c r="S24" s="2">
        <v>1.2671942397268701E-2</v>
      </c>
      <c r="T24" s="2">
        <v>1.25636926192772E-2</v>
      </c>
      <c r="U24" s="2">
        <v>1.53562756905026E-3</v>
      </c>
      <c r="V24" s="2">
        <v>1.49153334766457E-4</v>
      </c>
      <c r="W24" s="2">
        <v>1.1871775224554799E-2</v>
      </c>
      <c r="X24" s="2">
        <v>0.89749631646452799</v>
      </c>
      <c r="Y24" s="2">
        <v>8.6393245513741598E-2</v>
      </c>
      <c r="Z24" s="2">
        <v>110681.86792452799</v>
      </c>
      <c r="AA24" s="2">
        <v>802039.50122806802</v>
      </c>
      <c r="AB24" s="2">
        <v>1.00449852461587E-2</v>
      </c>
      <c r="AE24" s="1" t="s">
        <v>55</v>
      </c>
      <c r="AF24" s="2">
        <v>202</v>
      </c>
      <c r="AG24" s="2" t="s">
        <v>20</v>
      </c>
      <c r="AH24" s="2">
        <v>1.26630105576467E-2</v>
      </c>
      <c r="AI24" s="2">
        <v>1.2571140477766999E-2</v>
      </c>
      <c r="AJ24" s="2">
        <v>1.4113575952894399E-3</v>
      </c>
      <c r="AK24" s="2">
        <v>1.31041262973011E-4</v>
      </c>
      <c r="AL24" s="2">
        <v>1.0423975708867999E-2</v>
      </c>
      <c r="AM24" s="2">
        <v>0.96214773378162599</v>
      </c>
      <c r="AN24" s="2">
        <v>7.9608951005898404E-2</v>
      </c>
      <c r="AO24" s="2">
        <v>110547.784482759</v>
      </c>
      <c r="AP24" s="2">
        <v>861675.43724281096</v>
      </c>
      <c r="AQ24" s="2">
        <v>9.6944819361596702E-3</v>
      </c>
    </row>
    <row r="25" spans="1:43">
      <c r="A25" s="1"/>
      <c r="B25" s="2"/>
      <c r="C25" s="44"/>
      <c r="D25" s="45" t="s">
        <v>123</v>
      </c>
      <c r="E25" s="45" t="s">
        <v>124</v>
      </c>
      <c r="F25" s="2"/>
      <c r="G25" s="2"/>
      <c r="H25" s="2"/>
      <c r="I25" s="2"/>
      <c r="J25" s="2"/>
      <c r="K25" s="2"/>
      <c r="L25" s="2"/>
      <c r="M25" s="2"/>
      <c r="P25" s="1"/>
      <c r="Q25" s="2"/>
      <c r="R25" s="44"/>
      <c r="S25" s="45" t="s">
        <v>123</v>
      </c>
      <c r="T25" s="45" t="s">
        <v>124</v>
      </c>
      <c r="U25" s="2"/>
      <c r="V25" s="2"/>
      <c r="W25" s="2"/>
      <c r="X25" s="2"/>
      <c r="Y25" s="2"/>
      <c r="Z25" s="2"/>
      <c r="AA25" s="2"/>
      <c r="AB25" s="2"/>
      <c r="AE25" s="1"/>
      <c r="AF25" s="2"/>
      <c r="AG25" s="44"/>
      <c r="AH25" s="45" t="s">
        <v>123</v>
      </c>
      <c r="AI25" s="45" t="s">
        <v>124</v>
      </c>
      <c r="AJ25" s="2"/>
      <c r="AK25" s="2"/>
      <c r="AL25" s="2"/>
      <c r="AM25" s="2"/>
      <c r="AN25" s="2"/>
      <c r="AO25" s="2"/>
      <c r="AP25" s="2"/>
      <c r="AQ25" s="2"/>
    </row>
    <row r="26" spans="1:43">
      <c r="C26" s="46" t="s">
        <v>118</v>
      </c>
      <c r="D26" s="47">
        <f>AVERAGE(D20,D21,D23)</f>
        <v>9.5655826926134974E-3</v>
      </c>
      <c r="E26" s="47">
        <f>SQRT(1/SUM((1/M20^2)+(1/M21^2)+(1/M23^2)))</f>
        <v>7.4594869962020909E-3</v>
      </c>
      <c r="R26" s="46" t="s">
        <v>118</v>
      </c>
      <c r="S26" s="47">
        <f>AVERAGE(S20,S21,S23)</f>
        <v>1.2272116312193966E-2</v>
      </c>
      <c r="T26" s="47">
        <f>SQRT(1/SUM((1/AB20^2)+(1/AB21^2)+(1/AB23^2)))</f>
        <v>6.9903815173687394E-3</v>
      </c>
      <c r="AG26" s="46" t="s">
        <v>118</v>
      </c>
      <c r="AH26" s="47">
        <f>AVERAGE(AH20,AH21,AH23)</f>
        <v>1.2709913517427568E-2</v>
      </c>
      <c r="AI26" s="47">
        <f>SQRT(1/SUM((1/AQ20^2)+(1/AQ21^2)+(1/AQ23^2)))</f>
        <v>7.1141953363201916E-3</v>
      </c>
    </row>
    <row r="27" spans="1:43">
      <c r="C27" s="46" t="s">
        <v>119</v>
      </c>
      <c r="D27" s="47">
        <f>AVERAGE(D19,D22,D24)</f>
        <v>9.5662304221190292E-3</v>
      </c>
      <c r="E27" s="47">
        <f>SQRT(1/SUM((1/M19^2)+(1/M22^2)+(1/M24^2)))</f>
        <v>6.4335601636738224E-3</v>
      </c>
      <c r="R27" s="46" t="s">
        <v>119</v>
      </c>
      <c r="S27" s="47">
        <f>AVERAGE(S19,S22,S24)</f>
        <v>1.2714503289213433E-2</v>
      </c>
      <c r="T27" s="47">
        <f>SQRT(1/SUM((1/AB19^2)+(1/AB22^2)+(1/AB24^2)))</f>
        <v>5.7307638549716567E-3</v>
      </c>
      <c r="AG27" s="46" t="s">
        <v>119</v>
      </c>
      <c r="AH27" s="47">
        <f>AVERAGE(AH19,AH22,AH24)</f>
        <v>1.2632187049667535E-2</v>
      </c>
      <c r="AI27" s="47">
        <f>SQRT(1/SUM((1/AQ19^2)+(1/AQ22^2)+(1/AQ24^2)))</f>
        <v>5.5796414372684591E-3</v>
      </c>
    </row>
    <row r="28" spans="1:43">
      <c r="C28" s="46" t="s">
        <v>120</v>
      </c>
      <c r="D28" s="47">
        <f>D26/D27</f>
        <v>0.99993228999543704</v>
      </c>
      <c r="E28" s="47">
        <f>SQRT(E26^2+E27^2)</f>
        <v>9.8506163576762458E-3</v>
      </c>
      <c r="F28" s="56"/>
      <c r="R28" s="46" t="s">
        <v>120</v>
      </c>
      <c r="S28" s="47">
        <f>S26/S27</f>
        <v>0.96520611407645207</v>
      </c>
      <c r="T28" s="47">
        <f>SQRT(T26^2+T27^2)</f>
        <v>9.0391973161238204E-3</v>
      </c>
      <c r="AG28" s="46" t="s">
        <v>120</v>
      </c>
      <c r="AH28" s="47">
        <f>AH26/AH27</f>
        <v>1.0061530491477386</v>
      </c>
      <c r="AI28" s="47">
        <f>SQRT(AI26^2+AI27^2)</f>
        <v>9.0412484675404872E-3</v>
      </c>
      <c r="AJ28" s="56" t="s">
        <v>128</v>
      </c>
    </row>
    <row r="29" spans="1:43">
      <c r="C29" s="46" t="s">
        <v>121</v>
      </c>
      <c r="D29" s="47">
        <f>(D28-1)*1000</f>
        <v>-6.7710004562959725E-2</v>
      </c>
      <c r="E29" s="47">
        <f>E28*1000</f>
        <v>9.8506163576762464</v>
      </c>
      <c r="F29" s="55"/>
      <c r="R29" s="46" t="s">
        <v>121</v>
      </c>
      <c r="S29" s="47">
        <f>(S28-1)*1000</f>
        <v>-34.793885923547933</v>
      </c>
      <c r="T29" s="47">
        <f>T28*1000</f>
        <v>9.0391973161238202</v>
      </c>
      <c r="AG29" s="46" t="s">
        <v>121</v>
      </c>
      <c r="AH29" s="47">
        <f>(AH28-1)*1000</f>
        <v>6.1530491477386207</v>
      </c>
      <c r="AI29" s="47">
        <f>AI28*1000</f>
        <v>9.0412484675404876</v>
      </c>
      <c r="AJ29" s="55">
        <f>AH29-2*AH15</f>
        <v>19.506517912748045</v>
      </c>
    </row>
    <row r="30" spans="1:43" ht="23">
      <c r="A30" s="7" t="s">
        <v>31</v>
      </c>
    </row>
    <row r="31" spans="1:43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1" t="s">
        <v>6</v>
      </c>
      <c r="H31" s="1" t="s">
        <v>7</v>
      </c>
      <c r="I31" s="1" t="s">
        <v>8</v>
      </c>
      <c r="J31" s="1" t="s">
        <v>9</v>
      </c>
      <c r="K31" s="1" t="s">
        <v>10</v>
      </c>
      <c r="L31" s="1" t="s">
        <v>11</v>
      </c>
      <c r="M31" s="1" t="s">
        <v>12</v>
      </c>
      <c r="P31" s="1" t="s">
        <v>0</v>
      </c>
      <c r="Q31" s="1" t="s">
        <v>1</v>
      </c>
      <c r="R31" s="1" t="s">
        <v>2</v>
      </c>
      <c r="S31" s="1" t="s">
        <v>3</v>
      </c>
      <c r="T31" s="1" t="s">
        <v>4</v>
      </c>
      <c r="U31" s="1" t="s">
        <v>5</v>
      </c>
      <c r="V31" s="1" t="s">
        <v>6</v>
      </c>
      <c r="W31" s="1" t="s">
        <v>7</v>
      </c>
      <c r="X31" s="1" t="s">
        <v>8</v>
      </c>
      <c r="Y31" s="1" t="s">
        <v>9</v>
      </c>
      <c r="Z31" s="1" t="s">
        <v>10</v>
      </c>
      <c r="AA31" s="1" t="s">
        <v>11</v>
      </c>
      <c r="AB31" s="1" t="s">
        <v>12</v>
      </c>
      <c r="AE31" s="1" t="s">
        <v>0</v>
      </c>
      <c r="AF31" s="1" t="s">
        <v>1</v>
      </c>
      <c r="AG31" s="1" t="s">
        <v>2</v>
      </c>
      <c r="AH31" s="1" t="s">
        <v>3</v>
      </c>
      <c r="AI31" s="1" t="s">
        <v>4</v>
      </c>
      <c r="AJ31" s="1" t="s">
        <v>5</v>
      </c>
      <c r="AK31" s="1" t="s">
        <v>6</v>
      </c>
      <c r="AL31" s="1" t="s">
        <v>7</v>
      </c>
      <c r="AM31" s="1" t="s">
        <v>8</v>
      </c>
      <c r="AN31" s="1" t="s">
        <v>9</v>
      </c>
      <c r="AO31" s="1" t="s">
        <v>10</v>
      </c>
      <c r="AP31" s="1" t="s">
        <v>11</v>
      </c>
      <c r="AQ31" s="1" t="s">
        <v>12</v>
      </c>
    </row>
    <row r="32" spans="1:43">
      <c r="A32" s="1" t="s">
        <v>56</v>
      </c>
      <c r="B32" s="2">
        <v>179</v>
      </c>
      <c r="C32" s="2" t="s">
        <v>20</v>
      </c>
      <c r="D32" s="2">
        <v>5.9308397626866398E-2</v>
      </c>
      <c r="E32" s="2">
        <v>6.0334275731400502E-2</v>
      </c>
      <c r="F32" s="2">
        <v>6.2613158212841101E-3</v>
      </c>
      <c r="G32" s="2">
        <v>8.2933154030940897E-4</v>
      </c>
      <c r="H32" s="2">
        <v>1.37456119304634E-2</v>
      </c>
      <c r="I32" s="2">
        <v>0.72185593027029105</v>
      </c>
      <c r="J32" s="2">
        <v>4.9110653102262397E-2</v>
      </c>
      <c r="K32" s="2">
        <v>24004.473684210501</v>
      </c>
      <c r="L32" s="2">
        <v>150128.792743542</v>
      </c>
      <c r="M32" s="2">
        <v>1.12261883322919E-2</v>
      </c>
      <c r="P32" s="1" t="s">
        <v>62</v>
      </c>
      <c r="Q32" s="2">
        <v>203</v>
      </c>
      <c r="R32" s="2" t="s">
        <v>20</v>
      </c>
      <c r="S32" s="2">
        <v>7.1486344719946193E-2</v>
      </c>
      <c r="T32" s="2">
        <v>7.1674687319800201E-2</v>
      </c>
      <c r="U32" s="2">
        <v>7.6017438012680296E-3</v>
      </c>
      <c r="V32" s="2">
        <v>8.8971681519148401E-4</v>
      </c>
      <c r="W32" s="2">
        <v>1.2413263991257001E-2</v>
      </c>
      <c r="X32" s="2">
        <v>0.71930159359657497</v>
      </c>
      <c r="Y32" s="2">
        <v>9.8497075928793004E-2</v>
      </c>
      <c r="Z32" s="2">
        <v>25732.712328767098</v>
      </c>
      <c r="AA32" s="2">
        <v>194190.941541056</v>
      </c>
      <c r="AB32" s="2">
        <v>9.0941185520216402E-3</v>
      </c>
      <c r="AE32" s="1" t="s">
        <v>62</v>
      </c>
      <c r="AF32" s="2">
        <v>203</v>
      </c>
      <c r="AG32" s="2" t="s">
        <v>20</v>
      </c>
      <c r="AH32" s="2">
        <v>7.0495865500944402E-2</v>
      </c>
      <c r="AI32" s="2">
        <v>6.9816771964209601E-2</v>
      </c>
      <c r="AJ32" s="2">
        <v>5.6089955884054098E-3</v>
      </c>
      <c r="AK32" s="2">
        <v>6.6102646936781599E-4</v>
      </c>
      <c r="AL32" s="2">
        <v>9.4680182250001504E-3</v>
      </c>
      <c r="AM32" s="2">
        <v>0.73513148894222702</v>
      </c>
      <c r="AN32" s="2">
        <v>0.10198357096210101</v>
      </c>
      <c r="AO32" s="2">
        <v>25942.125</v>
      </c>
      <c r="AP32" s="2">
        <v>190095.23301469701</v>
      </c>
      <c r="AQ32" s="2">
        <v>9.2473555850751208E-3</v>
      </c>
    </row>
    <row r="33" spans="1:43">
      <c r="A33" s="1" t="s">
        <v>57</v>
      </c>
      <c r="B33" s="2">
        <v>179</v>
      </c>
      <c r="C33" s="2" t="s">
        <v>20</v>
      </c>
      <c r="D33" s="2">
        <v>6.0418642291541501E-2</v>
      </c>
      <c r="E33" s="2">
        <v>6.0883196346494702E-2</v>
      </c>
      <c r="F33" s="2">
        <v>6.0456827583715202E-3</v>
      </c>
      <c r="G33" s="2">
        <v>7.9383703720329202E-4</v>
      </c>
      <c r="H33" s="2">
        <v>1.3038688584703299E-2</v>
      </c>
      <c r="I33" s="2">
        <v>0.686220431416391</v>
      </c>
      <c r="J33" s="2">
        <v>6.0200071530871799E-2</v>
      </c>
      <c r="K33" s="2">
        <v>24075.431034482801</v>
      </c>
      <c r="L33" s="2">
        <v>152411.66661729399</v>
      </c>
      <c r="M33" s="2">
        <v>1.10505213292E-2</v>
      </c>
      <c r="P33" s="1" t="s">
        <v>63</v>
      </c>
      <c r="Q33" s="2">
        <v>203</v>
      </c>
      <c r="R33" s="2" t="s">
        <v>20</v>
      </c>
      <c r="S33" s="2">
        <v>7.1540598387602003E-2</v>
      </c>
      <c r="T33" s="2">
        <v>7.3147953324058004E-2</v>
      </c>
      <c r="U33" s="2">
        <v>7.0648868945627601E-3</v>
      </c>
      <c r="V33" s="2">
        <v>8.2688246695053404E-4</v>
      </c>
      <c r="W33" s="2">
        <v>1.13042461118126E-2</v>
      </c>
      <c r="X33" s="2">
        <v>0.72070907611188295</v>
      </c>
      <c r="Y33" s="2">
        <v>9.5182092972211599E-2</v>
      </c>
      <c r="Z33" s="2">
        <v>25789.068493150698</v>
      </c>
      <c r="AA33" s="2">
        <v>195202.30734779601</v>
      </c>
      <c r="AB33" s="2">
        <v>9.0675481945004105E-3</v>
      </c>
      <c r="AE33" s="1" t="s">
        <v>63</v>
      </c>
      <c r="AF33" s="2">
        <v>203</v>
      </c>
      <c r="AG33" s="2" t="s">
        <v>20</v>
      </c>
      <c r="AH33" s="2">
        <v>7.0995516127887306E-2</v>
      </c>
      <c r="AI33" s="2">
        <v>7.0667307742791202E-2</v>
      </c>
      <c r="AJ33" s="2">
        <v>6.5904168226696702E-3</v>
      </c>
      <c r="AK33" s="2">
        <v>7.9920543166807595E-4</v>
      </c>
      <c r="AL33" s="2">
        <v>1.13094082284407E-2</v>
      </c>
      <c r="AM33" s="2">
        <v>0.71399631002710096</v>
      </c>
      <c r="AN33" s="2">
        <v>0.101830547386304</v>
      </c>
      <c r="AO33" s="2">
        <v>25851.161764705899</v>
      </c>
      <c r="AP33" s="2">
        <v>180834.25150963501</v>
      </c>
      <c r="AQ33" s="2">
        <v>9.4521770038725594E-3</v>
      </c>
    </row>
    <row r="34" spans="1:43">
      <c r="A34" s="1" t="s">
        <v>58</v>
      </c>
      <c r="B34" s="2">
        <v>179</v>
      </c>
      <c r="C34" s="2" t="s">
        <v>20</v>
      </c>
      <c r="D34" s="2">
        <v>6.1209703517587102E-2</v>
      </c>
      <c r="E34" s="2">
        <v>6.25628609541585E-2</v>
      </c>
      <c r="F34" s="2">
        <v>5.47137906484011E-3</v>
      </c>
      <c r="G34" s="2">
        <v>6.7864105014439505E-4</v>
      </c>
      <c r="H34" s="2">
        <v>1.0847346809182101E-2</v>
      </c>
      <c r="I34" s="2">
        <v>0.68540658952352895</v>
      </c>
      <c r="J34" s="2">
        <v>6.0464346800779202E-2</v>
      </c>
      <c r="K34" s="2">
        <v>24231.984615384601</v>
      </c>
      <c r="L34" s="2">
        <v>172282.732307428</v>
      </c>
      <c r="M34" s="2">
        <v>1.0334041447819201E-2</v>
      </c>
      <c r="P34" s="1" t="s">
        <v>64</v>
      </c>
      <c r="Q34" s="2">
        <v>203</v>
      </c>
      <c r="R34" s="2" t="s">
        <v>20</v>
      </c>
      <c r="S34" s="2">
        <v>7.0848061875993601E-2</v>
      </c>
      <c r="T34" s="2">
        <v>7.0855088375475703E-2</v>
      </c>
      <c r="U34" s="2">
        <v>6.0981228654911701E-3</v>
      </c>
      <c r="V34" s="2">
        <v>7.1373129592004205E-4</v>
      </c>
      <c r="W34" s="2">
        <v>1.00731127754415E-2</v>
      </c>
      <c r="X34" s="2">
        <v>0.72144881592224497</v>
      </c>
      <c r="Y34" s="2">
        <v>9.6690833896459105E-2</v>
      </c>
      <c r="Z34" s="2">
        <v>25820.383561643801</v>
      </c>
      <c r="AA34" s="2">
        <v>194969.173373155</v>
      </c>
      <c r="AB34" s="2">
        <v>9.1113114590766504E-3</v>
      </c>
      <c r="AE34" s="1" t="s">
        <v>64</v>
      </c>
      <c r="AF34" s="2">
        <v>203</v>
      </c>
      <c r="AG34" s="2" t="s">
        <v>20</v>
      </c>
      <c r="AH34" s="2">
        <v>7.17686907771211E-2</v>
      </c>
      <c r="AI34" s="2">
        <v>7.1763336970634806E-2</v>
      </c>
      <c r="AJ34" s="2">
        <v>6.72242336049642E-3</v>
      </c>
      <c r="AK34" s="2">
        <v>8.0348327245231702E-4</v>
      </c>
      <c r="AL34" s="2">
        <v>1.1196291955892401E-2</v>
      </c>
      <c r="AM34" s="2">
        <v>0.72353041912732796</v>
      </c>
      <c r="AN34" s="2">
        <v>0.100122223790682</v>
      </c>
      <c r="AO34" s="2">
        <v>25980.614285714299</v>
      </c>
      <c r="AP34" s="2">
        <v>187146.281738736</v>
      </c>
      <c r="AQ34" s="2">
        <v>9.2478963309056608E-3</v>
      </c>
    </row>
    <row r="35" spans="1:43">
      <c r="A35" s="1" t="s">
        <v>59</v>
      </c>
      <c r="B35" s="2">
        <v>179</v>
      </c>
      <c r="C35" s="2" t="s">
        <v>20</v>
      </c>
      <c r="D35" s="2">
        <v>6.14772160035153E-2</v>
      </c>
      <c r="E35" s="2">
        <v>6.1148430555641203E-2</v>
      </c>
      <c r="F35" s="2">
        <v>5.8396137923165904E-3</v>
      </c>
      <c r="G35" s="2">
        <v>6.3715410077616402E-4</v>
      </c>
      <c r="H35" s="2">
        <v>1.04197948334323E-2</v>
      </c>
      <c r="I35" s="2">
        <v>0.76327000318709803</v>
      </c>
      <c r="J35" s="2">
        <v>6.1161326914716603E-2</v>
      </c>
      <c r="K35" s="2">
        <v>24453.964285714301</v>
      </c>
      <c r="L35" s="2">
        <v>228494.68336272199</v>
      </c>
      <c r="M35" s="2">
        <v>8.9560298201245107E-3</v>
      </c>
      <c r="P35" s="1" t="s">
        <v>65</v>
      </c>
      <c r="Q35" s="2">
        <v>203</v>
      </c>
      <c r="R35" s="2" t="s">
        <v>20</v>
      </c>
      <c r="S35" s="2">
        <v>7.1287007645369604E-2</v>
      </c>
      <c r="T35" s="2">
        <v>7.2101162664843399E-2</v>
      </c>
      <c r="U35" s="2">
        <v>6.7626468216249302E-3</v>
      </c>
      <c r="V35" s="2">
        <v>7.1683912941541701E-4</v>
      </c>
      <c r="W35" s="2">
        <v>9.94212995909078E-3</v>
      </c>
      <c r="X35" s="2">
        <v>0.82328876835963904</v>
      </c>
      <c r="Y35" s="2">
        <v>0.118796896107278</v>
      </c>
      <c r="Z35" s="2">
        <v>25623.977528089901</v>
      </c>
      <c r="AA35" s="2">
        <v>248613.85563049201</v>
      </c>
      <c r="AB35" s="2">
        <v>8.0470737379888992E-3</v>
      </c>
      <c r="AE35" s="1" t="s">
        <v>65</v>
      </c>
      <c r="AF35" s="2">
        <v>203</v>
      </c>
      <c r="AG35" s="2" t="s">
        <v>20</v>
      </c>
      <c r="AH35" s="2">
        <v>7.0780185539738305E-2</v>
      </c>
      <c r="AI35" s="2">
        <v>7.0191115425165304E-2</v>
      </c>
      <c r="AJ35" s="2">
        <v>6.6631076026861698E-3</v>
      </c>
      <c r="AK35" s="2">
        <v>6.8724707475190095E-4</v>
      </c>
      <c r="AL35" s="2">
        <v>9.7910835379815906E-3</v>
      </c>
      <c r="AM35" s="2">
        <v>0.888800844041857</v>
      </c>
      <c r="AN35" s="2">
        <v>9.4339754836615497E-2</v>
      </c>
      <c r="AO35" s="2">
        <v>25585.053191489402</v>
      </c>
      <c r="AP35" s="2">
        <v>261845.45327529701</v>
      </c>
      <c r="AQ35" s="2">
        <v>7.8654207424701996E-3</v>
      </c>
    </row>
    <row r="36" spans="1:43">
      <c r="A36" s="1" t="s">
        <v>60</v>
      </c>
      <c r="B36" s="2">
        <v>179</v>
      </c>
      <c r="C36" s="2" t="s">
        <v>20</v>
      </c>
      <c r="D36" s="2">
        <v>6.0292654576753799E-2</v>
      </c>
      <c r="E36" s="2">
        <v>6.0663533209062398E-2</v>
      </c>
      <c r="F36" s="2">
        <v>5.5032794097506603E-3</v>
      </c>
      <c r="G36" s="2">
        <v>6.0045701108748302E-4</v>
      </c>
      <c r="H36" s="2">
        <v>9.8981542835322803E-3</v>
      </c>
      <c r="I36" s="2">
        <v>0.77701049317521398</v>
      </c>
      <c r="J36" s="2">
        <v>5.5378564375633002E-2</v>
      </c>
      <c r="K36" s="2">
        <v>24390.2976190476</v>
      </c>
      <c r="L36" s="2">
        <v>226710.71809824801</v>
      </c>
      <c r="M36" s="2">
        <v>9.0689607797457897E-3</v>
      </c>
      <c r="P36" s="1" t="s">
        <v>66</v>
      </c>
      <c r="Q36" s="2">
        <v>203</v>
      </c>
      <c r="R36" s="2" t="s">
        <v>20</v>
      </c>
      <c r="S36" s="2">
        <v>7.1733375680261294E-2</v>
      </c>
      <c r="T36" s="2">
        <v>7.1491656270333395E-2</v>
      </c>
      <c r="U36" s="2">
        <v>5.6589273385166203E-3</v>
      </c>
      <c r="V36" s="2">
        <v>5.6589273385166197E-4</v>
      </c>
      <c r="W36" s="2">
        <v>7.9155073944830196E-3</v>
      </c>
      <c r="X36" s="2">
        <v>0.87743446354087296</v>
      </c>
      <c r="Y36" s="2">
        <v>0.39996036531644802</v>
      </c>
      <c r="Z36" s="2">
        <v>26451.09</v>
      </c>
      <c r="AA36" s="2">
        <v>286747.03570546297</v>
      </c>
      <c r="AB36" s="2">
        <v>7.4726846075928704E-3</v>
      </c>
      <c r="AE36" s="1" t="s">
        <v>66</v>
      </c>
      <c r="AF36" s="2">
        <v>203</v>
      </c>
      <c r="AG36" s="2" t="s">
        <v>20</v>
      </c>
      <c r="AH36" s="2">
        <v>7.1761266554680306E-2</v>
      </c>
      <c r="AI36" s="2">
        <v>7.1330553493654802E-2</v>
      </c>
      <c r="AJ36" s="2">
        <v>5.2419940147444303E-3</v>
      </c>
      <c r="AK36" s="2">
        <v>5.1156623413848603E-4</v>
      </c>
      <c r="AL36" s="2">
        <v>7.1717687454085502E-3</v>
      </c>
      <c r="AM36" s="2">
        <v>0.91911227848391097</v>
      </c>
      <c r="AN36" s="2">
        <v>9.1980701652531402E-2</v>
      </c>
      <c r="AO36" s="2">
        <v>25567.4666666667</v>
      </c>
      <c r="AP36" s="2">
        <v>292503.08068971703</v>
      </c>
      <c r="AQ36" s="2">
        <v>7.3975479304145804E-3</v>
      </c>
    </row>
    <row r="37" spans="1:43">
      <c r="A37" s="1" t="s">
        <v>61</v>
      </c>
      <c r="B37" s="2">
        <v>179</v>
      </c>
      <c r="C37" s="2" t="s">
        <v>20</v>
      </c>
      <c r="D37" s="2">
        <v>6.1376232641295797E-2</v>
      </c>
      <c r="E37" s="2">
        <v>6.1861276714024999E-2</v>
      </c>
      <c r="F37" s="2">
        <v>5.3008077706214801E-3</v>
      </c>
      <c r="G37" s="2">
        <v>5.6506800697994305E-4</v>
      </c>
      <c r="H37" s="2">
        <v>9.1344381654482297E-3</v>
      </c>
      <c r="I37" s="2">
        <v>0.76425125621218004</v>
      </c>
      <c r="J37" s="2">
        <v>0.285451515723393</v>
      </c>
      <c r="K37" s="2">
        <v>25172.840909090901</v>
      </c>
      <c r="L37" s="2">
        <v>244647.85935699599</v>
      </c>
      <c r="M37" s="2">
        <v>8.6616081928970901E-3</v>
      </c>
      <c r="P37" s="1" t="s">
        <v>67</v>
      </c>
      <c r="Q37" s="2">
        <v>203</v>
      </c>
      <c r="R37" s="2" t="s">
        <v>20</v>
      </c>
      <c r="S37" s="2">
        <v>7.1442632585361002E-2</v>
      </c>
      <c r="T37" s="2">
        <v>7.2027594929171601E-2</v>
      </c>
      <c r="U37" s="2">
        <v>6.4207971905829104E-3</v>
      </c>
      <c r="V37" s="2">
        <v>6.2072189328983801E-4</v>
      </c>
      <c r="W37" s="2">
        <v>8.6178345105126005E-3</v>
      </c>
      <c r="X37" s="2">
        <v>0.91320715169769895</v>
      </c>
      <c r="Y37" s="2">
        <v>0.125582406190797</v>
      </c>
      <c r="Z37" s="2">
        <v>25658.308411214999</v>
      </c>
      <c r="AA37" s="2">
        <v>297332.08318886702</v>
      </c>
      <c r="AB37" s="2">
        <v>7.3513874296134898E-3</v>
      </c>
      <c r="AE37" s="1" t="s">
        <v>67</v>
      </c>
      <c r="AF37" s="2">
        <v>203</v>
      </c>
      <c r="AG37" s="2" t="s">
        <v>20</v>
      </c>
      <c r="AH37" s="2">
        <v>7.1176647948873795E-2</v>
      </c>
      <c r="AI37" s="2">
        <v>7.1205310278337097E-2</v>
      </c>
      <c r="AJ37" s="2">
        <v>6.8518679671487398E-3</v>
      </c>
      <c r="AK37" s="2">
        <v>6.5035052668596497E-4</v>
      </c>
      <c r="AL37" s="2">
        <v>9.1334554142631398E-3</v>
      </c>
      <c r="AM37" s="2">
        <v>0.93489902302207095</v>
      </c>
      <c r="AN37" s="2">
        <v>9.1432698146431304E-2</v>
      </c>
      <c r="AO37" s="2">
        <v>25562.7567567568</v>
      </c>
      <c r="AP37" s="2">
        <v>309967.84841133602</v>
      </c>
      <c r="AQ37" s="2">
        <v>7.2116394599519998E-3</v>
      </c>
    </row>
    <row r="38" spans="1:43">
      <c r="C38" s="52"/>
      <c r="D38" s="42" t="s">
        <v>123</v>
      </c>
      <c r="E38" s="42" t="s">
        <v>124</v>
      </c>
      <c r="R38" s="52"/>
      <c r="S38" s="42" t="s">
        <v>123</v>
      </c>
      <c r="T38" s="42" t="s">
        <v>124</v>
      </c>
      <c r="AG38" s="52"/>
      <c r="AH38" s="42" t="s">
        <v>123</v>
      </c>
      <c r="AI38" s="42" t="s">
        <v>124</v>
      </c>
    </row>
    <row r="39" spans="1:43">
      <c r="C39" s="52" t="s">
        <v>118</v>
      </c>
      <c r="D39" s="53">
        <f>AVERAGE(D32:D34)</f>
        <v>6.0312247811998336E-2</v>
      </c>
      <c r="E39" s="54">
        <f>SQRT(1/SUM((1/M32^2)+(1/M33^2)+(1/M34^2)))</f>
        <v>6.2637393433881833E-3</v>
      </c>
      <c r="R39" s="52" t="s">
        <v>118</v>
      </c>
      <c r="S39" s="53">
        <f>AVERAGE(S32:S34)</f>
        <v>7.1291668327847266E-2</v>
      </c>
      <c r="T39" s="54">
        <f>SQRT(1/SUM((1/AB32^2)+(1/AB33^2)+(1/AB34^2)))</f>
        <v>5.2486562086702885E-3</v>
      </c>
      <c r="AG39" s="52" t="s">
        <v>118</v>
      </c>
      <c r="AH39" s="53">
        <f>AVERAGE(AH32:AH34)</f>
        <v>7.1086690801984265E-2</v>
      </c>
      <c r="AI39" s="54">
        <f>SQRT(1/SUM((1/AQ32^2)+(1/AQ33^2)+(1/AQ34^2)))</f>
        <v>5.3776292376837972E-3</v>
      </c>
    </row>
    <row r="40" spans="1:43">
      <c r="C40" s="52" t="s">
        <v>125</v>
      </c>
      <c r="D40" s="42">
        <f>D39*D12</f>
        <v>8.879469797475904E-3</v>
      </c>
      <c r="E40" s="42">
        <f>SQRT(E39^2+E12^2)</f>
        <v>6.5835551254941659E-3</v>
      </c>
      <c r="R40" s="52" t="s">
        <v>125</v>
      </c>
      <c r="S40" s="42">
        <f>S39*S12</f>
        <v>1.1994022713677253E-2</v>
      </c>
      <c r="T40" s="42">
        <f>SQRT(T39^2+T12^2)</f>
        <v>5.6269315910342874E-3</v>
      </c>
      <c r="AG40" s="52" t="s">
        <v>125</v>
      </c>
      <c r="AH40" s="42">
        <f>AH39*AH12</f>
        <v>1.198181643161675E-2</v>
      </c>
      <c r="AI40" s="42">
        <f>SQRT(AI39^2+AI12^2)</f>
        <v>5.7726125910712352E-3</v>
      </c>
    </row>
    <row r="41" spans="1:43">
      <c r="C41" s="52" t="s">
        <v>119</v>
      </c>
      <c r="D41" s="53">
        <f>AVERAGE(D35:D37)</f>
        <v>6.1048701073854961E-2</v>
      </c>
      <c r="E41" s="54">
        <f>SQRT(1/SUM((1/M35^2)+(1/M36^2)+(1/M37^2)))</f>
        <v>5.1329316529819292E-3</v>
      </c>
      <c r="R41" s="52" t="s">
        <v>119</v>
      </c>
      <c r="S41" s="53">
        <f>AVERAGE(S35:S37)</f>
        <v>7.1487671970330624E-2</v>
      </c>
      <c r="T41" s="54">
        <f>SQRT(1/SUM((1/AB35^2)+(1/AB36^2)+(1/AB37^2)))</f>
        <v>4.3914368498179333E-3</v>
      </c>
      <c r="AG41" s="52" t="s">
        <v>119</v>
      </c>
      <c r="AH41" s="53">
        <f>AVERAGE(AH35:AH37)</f>
        <v>7.1239366681097469E-2</v>
      </c>
      <c r="AI41" s="54">
        <f>SQRT(1/SUM((1/AQ35^2)+(1/AQ36^2)+(1/AQ37^2)))</f>
        <v>4.316693795577105E-3</v>
      </c>
    </row>
    <row r="42" spans="1:43">
      <c r="C42" s="52" t="s">
        <v>126</v>
      </c>
      <c r="D42" s="42">
        <f>D41*D13</f>
        <v>9.0564420720687221E-3</v>
      </c>
      <c r="E42" s="42">
        <f>SQRT(E41^2+E13^2)</f>
        <v>5.4205939628872843E-3</v>
      </c>
      <c r="R42" s="52" t="s">
        <v>126</v>
      </c>
      <c r="S42" s="42">
        <f>S41*S13</f>
        <v>1.2090431735016421E-2</v>
      </c>
      <c r="T42" s="42">
        <f>SQRT(T41^2+T13^2)</f>
        <v>4.7047471984000711E-3</v>
      </c>
      <c r="AG42" s="52" t="s">
        <v>126</v>
      </c>
      <c r="AH42" s="42">
        <f>AH41*AH13</f>
        <v>1.2088260387041246E-2</v>
      </c>
      <c r="AI42" s="42">
        <f>SQRT(AI41^2+AI13^2)</f>
        <v>4.6163861269762282E-3</v>
      </c>
    </row>
    <row r="43" spans="1:43">
      <c r="C43" s="52" t="s">
        <v>120</v>
      </c>
      <c r="D43" s="53">
        <f>D40/D42</f>
        <v>0.98045896245075925</v>
      </c>
      <c r="E43" s="53">
        <f>SQRT(E40^2+E42^2)</f>
        <v>8.5279562030366098E-3</v>
      </c>
      <c r="F43" s="56" t="s">
        <v>128</v>
      </c>
      <c r="R43" s="52" t="s">
        <v>120</v>
      </c>
      <c r="S43" s="53">
        <f>S40/S42</f>
        <v>0.99202600672563679</v>
      </c>
      <c r="T43" s="53">
        <f>SQRT(T40^2+T42^2)</f>
        <v>7.3346441857143263E-3</v>
      </c>
      <c r="U43" s="56" t="s">
        <v>128</v>
      </c>
      <c r="AG43" s="52" t="s">
        <v>120</v>
      </c>
      <c r="AH43" s="53">
        <f>AH40/AH42</f>
        <v>0.99119443559152609</v>
      </c>
      <c r="AI43" s="53">
        <f>SQRT(AI40^2+AI42^2)</f>
        <v>7.3914867922450309E-3</v>
      </c>
      <c r="AJ43" s="56" t="s">
        <v>128</v>
      </c>
    </row>
    <row r="44" spans="1:43">
      <c r="C44" s="52" t="s">
        <v>127</v>
      </c>
      <c r="D44" s="53">
        <f>1000*(D43-1)</f>
        <v>-19.541037549240748</v>
      </c>
      <c r="E44" s="53">
        <f>E43*1000</f>
        <v>8.5279562030366094</v>
      </c>
      <c r="F44" s="55">
        <f>D44-2*D15</f>
        <v>-4.4030941058815785</v>
      </c>
      <c r="R44" s="52" t="s">
        <v>127</v>
      </c>
      <c r="S44" s="53">
        <f>1000*(S43-1)</f>
        <v>-7.9739932743632114</v>
      </c>
      <c r="T44" s="53">
        <f>T43*1000</f>
        <v>7.3346441857143265</v>
      </c>
      <c r="U44" s="55">
        <f>S44-2*S15</f>
        <v>2.5191984766801401</v>
      </c>
      <c r="AG44" s="52" t="s">
        <v>127</v>
      </c>
      <c r="AH44" s="53">
        <f>1000*(AH43-1)</f>
        <v>-8.8055644084739093</v>
      </c>
      <c r="AI44" s="53">
        <f>AI43*1000</f>
        <v>7.3914867922450309</v>
      </c>
      <c r="AJ44" s="55">
        <f>AH44-2*AH15</f>
        <v>4.5479043565355148</v>
      </c>
    </row>
    <row r="46" spans="1:43">
      <c r="C46" s="78"/>
      <c r="F46" s="56"/>
      <c r="R46" s="78"/>
      <c r="U46" s="56"/>
      <c r="AG46" s="78"/>
      <c r="AJ46" s="56"/>
    </row>
    <row r="47" spans="1:43">
      <c r="C47" s="78"/>
      <c r="F47" s="55"/>
      <c r="R47" s="78"/>
      <c r="U47" s="55"/>
      <c r="AG47" s="78"/>
      <c r="AJ47" s="5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139E3-82ED-ED49-BE5D-1F9388B77298}">
  <dimension ref="A1:AS49"/>
  <sheetViews>
    <sheetView topLeftCell="Q5" zoomScale="98" workbookViewId="0">
      <selection activeCell="W46" sqref="W46"/>
    </sheetView>
  </sheetViews>
  <sheetFormatPr baseColWidth="10" defaultRowHeight="16"/>
  <cols>
    <col min="1" max="1" width="141" customWidth="1"/>
    <col min="3" max="3" width="16.83203125" customWidth="1"/>
    <col min="18" max="18" width="142.33203125" customWidth="1"/>
    <col min="20" max="20" width="13.33203125" customWidth="1"/>
    <col min="21" max="21" width="20.5" customWidth="1"/>
    <col min="33" max="33" width="146.83203125" customWidth="1"/>
    <col min="35" max="35" width="13.33203125" customWidth="1"/>
  </cols>
  <sheetData>
    <row r="1" spans="1:45" ht="24">
      <c r="A1" s="3" t="s">
        <v>69</v>
      </c>
      <c r="B1" s="3" t="s">
        <v>21</v>
      </c>
      <c r="D1" s="43">
        <f>'2x13C computation-v1'!B27</f>
        <v>-24.4</v>
      </c>
      <c r="E1" s="43">
        <f>'2x13C computation-v1'!C27</f>
        <v>0.56000000000000005</v>
      </c>
      <c r="S1" s="6" t="s">
        <v>29</v>
      </c>
      <c r="U1" s="43">
        <f>'2x13C computation-v1'!B29</f>
        <v>-24.2</v>
      </c>
      <c r="V1" s="43">
        <f>'2x13C computation-v1'!C29</f>
        <v>0.42</v>
      </c>
      <c r="AI1" s="6" t="s">
        <v>30</v>
      </c>
      <c r="AJ1" s="43">
        <f>'2x13C computation-v1'!B30</f>
        <v>-25.2</v>
      </c>
      <c r="AK1" s="43">
        <f>'2x13C computation-v1'!C30</f>
        <v>0.49</v>
      </c>
    </row>
    <row r="3" spans="1:45" s="4" customFormat="1" ht="24">
      <c r="A3" s="5" t="s">
        <v>22</v>
      </c>
    </row>
    <row r="4" spans="1:4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/>
      <c r="O4" s="1"/>
      <c r="R4" s="1" t="s">
        <v>0</v>
      </c>
      <c r="S4" s="1" t="s">
        <v>1</v>
      </c>
      <c r="T4" s="1" t="s">
        <v>2</v>
      </c>
      <c r="U4" s="1" t="s">
        <v>3</v>
      </c>
      <c r="V4" s="1" t="s">
        <v>4</v>
      </c>
      <c r="W4" s="1" t="s">
        <v>5</v>
      </c>
      <c r="X4" s="1" t="s">
        <v>6</v>
      </c>
      <c r="Y4" s="1" t="s">
        <v>7</v>
      </c>
      <c r="Z4" s="1" t="s">
        <v>8</v>
      </c>
      <c r="AA4" s="1" t="s">
        <v>9</v>
      </c>
      <c r="AB4" s="1" t="s">
        <v>10</v>
      </c>
      <c r="AC4" s="1" t="s">
        <v>11</v>
      </c>
      <c r="AD4" s="1" t="s">
        <v>12</v>
      </c>
      <c r="AG4" s="1" t="s">
        <v>0</v>
      </c>
      <c r="AH4" s="1" t="s">
        <v>1</v>
      </c>
      <c r="AI4" s="1" t="s">
        <v>2</v>
      </c>
      <c r="AJ4" s="1" t="s">
        <v>3</v>
      </c>
      <c r="AK4" s="1" t="s">
        <v>4</v>
      </c>
      <c r="AL4" s="1" t="s">
        <v>5</v>
      </c>
      <c r="AM4" s="1" t="s">
        <v>6</v>
      </c>
      <c r="AN4" s="1" t="s">
        <v>7</v>
      </c>
      <c r="AO4" s="1" t="s">
        <v>8</v>
      </c>
      <c r="AP4" s="1" t="s">
        <v>9</v>
      </c>
      <c r="AQ4" s="1" t="s">
        <v>10</v>
      </c>
      <c r="AR4" s="1" t="s">
        <v>11</v>
      </c>
      <c r="AS4" s="1" t="s">
        <v>12</v>
      </c>
    </row>
    <row r="5" spans="1:45">
      <c r="A5" s="1" t="s">
        <v>13</v>
      </c>
      <c r="B5" s="2">
        <v>178</v>
      </c>
      <c r="C5" s="2" t="s">
        <v>14</v>
      </c>
      <c r="D5" s="2">
        <v>0.14742102442246899</v>
      </c>
      <c r="E5" s="2">
        <v>0.14850825149604499</v>
      </c>
      <c r="F5" s="2">
        <v>5.4854300135767304E-3</v>
      </c>
      <c r="G5" s="2">
        <v>5.4313850501135096E-4</v>
      </c>
      <c r="H5" s="2">
        <v>3.6572951303370299E-3</v>
      </c>
      <c r="I5" s="2">
        <v>0.83041673453415799</v>
      </c>
      <c r="J5" s="2">
        <v>0.474563000446245</v>
      </c>
      <c r="K5" s="2">
        <v>117761.32352941199</v>
      </c>
      <c r="L5" s="2">
        <v>998358.95232337201</v>
      </c>
      <c r="M5" s="2">
        <v>2.9908851234542099E-3</v>
      </c>
      <c r="N5" s="2"/>
      <c r="O5" s="2"/>
      <c r="R5" s="1" t="s">
        <v>23</v>
      </c>
      <c r="S5" s="2">
        <v>202</v>
      </c>
      <c r="T5" s="2" t="s">
        <v>14</v>
      </c>
      <c r="U5" s="2">
        <v>0.169647632762082</v>
      </c>
      <c r="V5" s="2">
        <v>0.16904759383618601</v>
      </c>
      <c r="W5" s="2">
        <v>5.4638699525469802E-3</v>
      </c>
      <c r="X5" s="2">
        <v>4.4464343076092502E-4</v>
      </c>
      <c r="Y5" s="2">
        <v>2.6302854756501499E-3</v>
      </c>
      <c r="Z5" s="2">
        <v>1.0111785563948199</v>
      </c>
      <c r="AA5" s="2">
        <v>8.3024135606912103E-2</v>
      </c>
      <c r="AB5" s="2">
        <v>110303.298013245</v>
      </c>
      <c r="AC5" s="2">
        <v>1328881.6005774401</v>
      </c>
      <c r="AD5" s="2">
        <v>2.4634173738544499E-3</v>
      </c>
      <c r="AG5" s="1" t="s">
        <v>23</v>
      </c>
      <c r="AH5" s="2">
        <v>202</v>
      </c>
      <c r="AI5" s="2" t="s">
        <v>14</v>
      </c>
      <c r="AJ5" s="2">
        <v>0.168655773023243</v>
      </c>
      <c r="AK5" s="2">
        <v>0.16841309068402599</v>
      </c>
      <c r="AL5" s="2">
        <v>6.4524357657199096E-3</v>
      </c>
      <c r="AM5" s="2">
        <v>5.1995209139157905E-4</v>
      </c>
      <c r="AN5" s="2">
        <v>3.0873614947611399E-3</v>
      </c>
      <c r="AO5" s="2">
        <v>1.01818507291074</v>
      </c>
      <c r="AP5" s="2">
        <v>6.9407623926035195E-2</v>
      </c>
      <c r="AQ5" s="2">
        <v>110266.62987013</v>
      </c>
      <c r="AR5" s="2">
        <v>1321035.7950533801</v>
      </c>
      <c r="AS5" s="2">
        <v>2.4758749753450299E-3</v>
      </c>
    </row>
    <row r="6" spans="1:45">
      <c r="A6" s="1" t="s">
        <v>15</v>
      </c>
      <c r="B6" s="2">
        <v>178</v>
      </c>
      <c r="C6" s="2" t="s">
        <v>14</v>
      </c>
      <c r="D6" s="2">
        <v>0.14764824883804001</v>
      </c>
      <c r="E6" s="2">
        <v>0.148352137326239</v>
      </c>
      <c r="F6" s="2">
        <v>6.5033145121349296E-3</v>
      </c>
      <c r="G6" s="2">
        <v>6.60311545055401E-4</v>
      </c>
      <c r="H6" s="2">
        <v>4.4509742626984801E-3</v>
      </c>
      <c r="I6" s="2">
        <v>0.824988286744477</v>
      </c>
      <c r="J6" s="2">
        <v>0.79778198232606701</v>
      </c>
      <c r="K6" s="2">
        <v>121936.91752577299</v>
      </c>
      <c r="L6" s="2">
        <v>959920.42350515595</v>
      </c>
      <c r="M6" s="2">
        <v>3.0484356521524201E-3</v>
      </c>
      <c r="N6" s="2"/>
      <c r="O6" s="2"/>
      <c r="R6" s="1" t="s">
        <v>24</v>
      </c>
      <c r="S6" s="2">
        <v>202</v>
      </c>
      <c r="T6" s="2" t="s">
        <v>14</v>
      </c>
      <c r="U6" s="2">
        <v>0.168643689305877</v>
      </c>
      <c r="V6" s="2">
        <v>0.168804006742999</v>
      </c>
      <c r="W6" s="2">
        <v>7.1053457774937897E-3</v>
      </c>
      <c r="X6" s="2">
        <v>6.0051132151661701E-4</v>
      </c>
      <c r="Y6" s="2">
        <v>3.5574470837702599E-3</v>
      </c>
      <c r="Z6" s="2">
        <v>0.99178843781167303</v>
      </c>
      <c r="AA6" s="2">
        <v>7.8361887314519901E-2</v>
      </c>
      <c r="AB6" s="2">
        <v>110370.764285714</v>
      </c>
      <c r="AC6" s="2">
        <v>1227903.9906987301</v>
      </c>
      <c r="AD6" s="2">
        <v>2.5681173540212801E-3</v>
      </c>
      <c r="AG6" s="1" t="s">
        <v>24</v>
      </c>
      <c r="AH6" s="2">
        <v>202</v>
      </c>
      <c r="AI6" s="2" t="s">
        <v>14</v>
      </c>
      <c r="AJ6" s="2">
        <v>0.17064899413172099</v>
      </c>
      <c r="AK6" s="2">
        <v>0.17150771846330101</v>
      </c>
      <c r="AL6" s="2">
        <v>5.8359890409305096E-3</v>
      </c>
      <c r="AM6" s="2">
        <v>4.7971534412707002E-4</v>
      </c>
      <c r="AN6" s="2">
        <v>2.79704813535676E-3</v>
      </c>
      <c r="AO6" s="2">
        <v>1.0087034642742101</v>
      </c>
      <c r="AP6" s="2">
        <v>7.0901193969222107E-2</v>
      </c>
      <c r="AQ6" s="2">
        <v>110298.03378378401</v>
      </c>
      <c r="AR6" s="2">
        <v>1275630.13152952</v>
      </c>
      <c r="AS6" s="2">
        <v>2.5090680796354199E-3</v>
      </c>
    </row>
    <row r="7" spans="1:45">
      <c r="A7" s="1" t="s">
        <v>16</v>
      </c>
      <c r="B7" s="2">
        <v>178</v>
      </c>
      <c r="C7" s="2" t="s">
        <v>14</v>
      </c>
      <c r="D7" s="2">
        <v>0.14714340460099301</v>
      </c>
      <c r="E7" s="2">
        <v>0.148244995793233</v>
      </c>
      <c r="F7" s="2">
        <v>5.6147410181376202E-3</v>
      </c>
      <c r="G7" s="2">
        <v>5.6430270461153202E-4</v>
      </c>
      <c r="H7" s="2">
        <v>3.80655482899808E-3</v>
      </c>
      <c r="I7" s="2">
        <v>0.81631736200220395</v>
      </c>
      <c r="J7" s="2">
        <v>0.485154174968564</v>
      </c>
      <c r="K7" s="2">
        <v>117731.373737374</v>
      </c>
      <c r="L7" s="2">
        <v>971694.95987388503</v>
      </c>
      <c r="M7" s="2">
        <v>3.0337677982428999E-3</v>
      </c>
      <c r="N7" s="2"/>
      <c r="O7" s="2"/>
      <c r="R7" s="1" t="s">
        <v>25</v>
      </c>
      <c r="S7" s="2">
        <v>202</v>
      </c>
      <c r="T7" s="2" t="s">
        <v>14</v>
      </c>
      <c r="U7" s="2">
        <v>0.16883847659221701</v>
      </c>
      <c r="V7" s="2">
        <v>0.169072836604414</v>
      </c>
      <c r="W7" s="2">
        <v>6.23908331073622E-3</v>
      </c>
      <c r="X7" s="2">
        <v>5.2173835683717504E-4</v>
      </c>
      <c r="Y7" s="2">
        <v>3.0858792418436E-3</v>
      </c>
      <c r="Z7" s="2">
        <v>0.99692507025060395</v>
      </c>
      <c r="AA7" s="2">
        <v>7.9517237123495496E-2</v>
      </c>
      <c r="AB7" s="2">
        <v>110326.727272727</v>
      </c>
      <c r="AC7" s="2">
        <v>1253933.9016982401</v>
      </c>
      <c r="AD7" s="2">
        <v>2.5402792747508799E-3</v>
      </c>
      <c r="AG7" s="1" t="s">
        <v>25</v>
      </c>
      <c r="AH7" s="2">
        <v>202</v>
      </c>
      <c r="AI7" s="2" t="s">
        <v>14</v>
      </c>
      <c r="AJ7" s="2">
        <v>0.169742906359478</v>
      </c>
      <c r="AK7" s="2">
        <v>0.16990409091820999</v>
      </c>
      <c r="AL7" s="2">
        <v>7.3644553387528199E-3</v>
      </c>
      <c r="AM7" s="2">
        <v>6.09486660470098E-4</v>
      </c>
      <c r="AN7" s="2">
        <v>3.58723946654996E-3</v>
      </c>
      <c r="AO7" s="2">
        <v>0.99919135894933497</v>
      </c>
      <c r="AP7" s="2">
        <v>6.9630018816268902E-2</v>
      </c>
      <c r="AQ7" s="2">
        <v>110288.404109589</v>
      </c>
      <c r="AR7" s="2">
        <v>1255433.0933222801</v>
      </c>
      <c r="AS7" s="2">
        <v>2.5339486921578201E-3</v>
      </c>
    </row>
    <row r="8" spans="1:45">
      <c r="A8" s="1" t="s">
        <v>17</v>
      </c>
      <c r="B8" s="2">
        <v>178</v>
      </c>
      <c r="C8" s="2" t="s">
        <v>14</v>
      </c>
      <c r="D8" s="2">
        <v>0.14808647222937599</v>
      </c>
      <c r="E8" s="2">
        <v>0.147819219234024</v>
      </c>
      <c r="F8" s="2">
        <v>6.24792106442708E-3</v>
      </c>
      <c r="G8" s="2">
        <v>6.2479210644270805E-4</v>
      </c>
      <c r="H8" s="2">
        <v>4.2267312036978798E-3</v>
      </c>
      <c r="I8" s="2">
        <v>0.827081191467961</v>
      </c>
      <c r="J8" s="2">
        <v>0.100127591668701</v>
      </c>
      <c r="K8" s="2">
        <v>115362.86</v>
      </c>
      <c r="L8" s="2">
        <v>969030.21769996197</v>
      </c>
      <c r="M8" s="2">
        <v>3.0307369655214202E-3</v>
      </c>
      <c r="N8" s="2"/>
      <c r="O8" s="2"/>
      <c r="R8" s="1" t="s">
        <v>26</v>
      </c>
      <c r="S8" s="2">
        <v>202</v>
      </c>
      <c r="T8" s="2" t="s">
        <v>14</v>
      </c>
      <c r="U8" s="2">
        <v>0.169401854672449</v>
      </c>
      <c r="V8" s="2">
        <v>0.17022624504849801</v>
      </c>
      <c r="W8" s="2">
        <v>7.9144548534423008E-3</v>
      </c>
      <c r="X8" s="2">
        <v>8.7938387260470005E-4</v>
      </c>
      <c r="Y8" s="2">
        <v>5.1659711600532598E-3</v>
      </c>
      <c r="Z8" s="2">
        <v>0.785409389206977</v>
      </c>
      <c r="AA8" s="2">
        <v>9.6527002464457903E-2</v>
      </c>
      <c r="AB8" s="2">
        <v>110937.555555556</v>
      </c>
      <c r="AC8" s="2">
        <v>705701.84341112198</v>
      </c>
      <c r="AD8" s="2">
        <v>3.38215940032457E-3</v>
      </c>
      <c r="AG8" s="1" t="s">
        <v>26</v>
      </c>
      <c r="AH8" s="2">
        <v>202</v>
      </c>
      <c r="AI8" s="2" t="s">
        <v>14</v>
      </c>
      <c r="AJ8" s="2">
        <v>0.16816596686759799</v>
      </c>
      <c r="AK8" s="2">
        <v>0.16865551031254</v>
      </c>
      <c r="AL8" s="2">
        <v>7.8250264041339803E-3</v>
      </c>
      <c r="AM8" s="2">
        <v>9.0964084258861398E-4</v>
      </c>
      <c r="AN8" s="2">
        <v>5.3934842739672998E-3</v>
      </c>
      <c r="AO8" s="2">
        <v>0.77502506709469698</v>
      </c>
      <c r="AP8" s="2">
        <v>0.10259421189743601</v>
      </c>
      <c r="AQ8" s="2">
        <v>110864.28378378401</v>
      </c>
      <c r="AR8" s="2">
        <v>636886.38730836601</v>
      </c>
      <c r="AS8" s="2">
        <v>3.5694763752401998E-3</v>
      </c>
    </row>
    <row r="9" spans="1:45">
      <c r="A9" s="1" t="s">
        <v>18</v>
      </c>
      <c r="B9" s="2">
        <v>178</v>
      </c>
      <c r="C9" s="2" t="s">
        <v>14</v>
      </c>
      <c r="D9" s="2">
        <v>0.14786176452181399</v>
      </c>
      <c r="E9" s="2">
        <v>0.14772553396742</v>
      </c>
      <c r="F9" s="2">
        <v>6.8238869076522801E-3</v>
      </c>
      <c r="G9" s="2">
        <v>6.8238869076522803E-4</v>
      </c>
      <c r="H9" s="2">
        <v>4.6193008915826703E-3</v>
      </c>
      <c r="I9" s="2">
        <v>0.82796843206856996</v>
      </c>
      <c r="J9" s="2">
        <v>0.10679382663762201</v>
      </c>
      <c r="K9" s="2">
        <v>115461.08</v>
      </c>
      <c r="L9" s="2">
        <v>974221.68626433401</v>
      </c>
      <c r="M9" s="2">
        <v>3.0243548853493602E-3</v>
      </c>
      <c r="N9" s="2"/>
      <c r="O9" s="2"/>
      <c r="R9" s="1" t="s">
        <v>27</v>
      </c>
      <c r="S9" s="2">
        <v>202</v>
      </c>
      <c r="T9" s="2" t="s">
        <v>14</v>
      </c>
      <c r="U9" s="2">
        <v>0.16876090480922101</v>
      </c>
      <c r="V9" s="2">
        <v>0.168653486999847</v>
      </c>
      <c r="W9" s="2">
        <v>6.8769936501711501E-3</v>
      </c>
      <c r="X9" s="2">
        <v>7.6887126413085496E-4</v>
      </c>
      <c r="Y9" s="2">
        <v>4.5588815138554104E-3</v>
      </c>
      <c r="Z9" s="2">
        <v>0.78096463003543704</v>
      </c>
      <c r="AA9" s="2">
        <v>0.10114893052412099</v>
      </c>
      <c r="AB9" s="2">
        <v>110702.6375</v>
      </c>
      <c r="AC9" s="2">
        <v>701610.04905731406</v>
      </c>
      <c r="AD9" s="2">
        <v>3.3965800389336399E-3</v>
      </c>
      <c r="AG9" s="1" t="s">
        <v>27</v>
      </c>
      <c r="AH9" s="2">
        <v>202</v>
      </c>
      <c r="AI9" s="2" t="s">
        <v>14</v>
      </c>
      <c r="AJ9" s="2">
        <v>0.16807715321936401</v>
      </c>
      <c r="AK9" s="2">
        <v>0.16880345137713901</v>
      </c>
      <c r="AL9" s="2">
        <v>6.9941473723285196E-3</v>
      </c>
      <c r="AM9" s="2">
        <v>8.1860303211613202E-4</v>
      </c>
      <c r="AN9" s="2">
        <v>4.8494448747212898E-3</v>
      </c>
      <c r="AO9" s="2">
        <v>0.771498674840152</v>
      </c>
      <c r="AP9" s="2">
        <v>0.106826271778045</v>
      </c>
      <c r="AQ9" s="2">
        <v>110822.273972603</v>
      </c>
      <c r="AR9" s="2">
        <v>625119.24335841695</v>
      </c>
      <c r="AS9" s="2">
        <v>3.6035931572245602E-3</v>
      </c>
    </row>
    <row r="10" spans="1:45">
      <c r="A10" s="1" t="s">
        <v>19</v>
      </c>
      <c r="B10" s="2">
        <v>178</v>
      </c>
      <c r="C10" s="2" t="s">
        <v>14</v>
      </c>
      <c r="D10" s="2">
        <v>0.147664202372463</v>
      </c>
      <c r="E10" s="2">
        <v>0.14854046916428401</v>
      </c>
      <c r="F10" s="2">
        <v>5.8429495677989303E-3</v>
      </c>
      <c r="G10" s="2">
        <v>6.0588564565535103E-4</v>
      </c>
      <c r="H10" s="2">
        <v>4.0789264303807199E-3</v>
      </c>
      <c r="I10" s="2">
        <v>0.81722989864422102</v>
      </c>
      <c r="J10" s="2">
        <v>0.1057107840919</v>
      </c>
      <c r="K10" s="2">
        <v>115424.709677419</v>
      </c>
      <c r="L10" s="2">
        <v>904041.26260914397</v>
      </c>
      <c r="M10" s="2">
        <v>3.14110964941177E-3</v>
      </c>
      <c r="N10" s="2"/>
      <c r="O10" s="2"/>
      <c r="R10" s="1" t="s">
        <v>28</v>
      </c>
      <c r="S10" s="2">
        <v>202</v>
      </c>
      <c r="T10" s="2" t="s">
        <v>14</v>
      </c>
      <c r="U10" s="2">
        <v>0.16734609315899701</v>
      </c>
      <c r="V10" s="2">
        <v>0.16746040895704301</v>
      </c>
      <c r="W10" s="2">
        <v>8.2280682635751095E-3</v>
      </c>
      <c r="X10" s="2">
        <v>9.5009548537714102E-4</v>
      </c>
      <c r="Y10" s="2">
        <v>5.6735528791217599E-3</v>
      </c>
      <c r="Z10" s="2">
        <v>0.75979844686675102</v>
      </c>
      <c r="AA10" s="2">
        <v>0.10119139499214599</v>
      </c>
      <c r="AB10" s="2">
        <v>110411.066666667</v>
      </c>
      <c r="AC10" s="2">
        <v>655142.72043984802</v>
      </c>
      <c r="AD10" s="2">
        <v>3.52552570384567E-3</v>
      </c>
      <c r="AG10" s="1" t="s">
        <v>28</v>
      </c>
      <c r="AH10" s="2">
        <v>202</v>
      </c>
      <c r="AI10" s="2" t="s">
        <v>14</v>
      </c>
      <c r="AJ10" s="2">
        <v>0.168677524756534</v>
      </c>
      <c r="AK10" s="2">
        <v>0.168481999109625</v>
      </c>
      <c r="AL10" s="2">
        <v>6.9657805076718702E-3</v>
      </c>
      <c r="AM10" s="2">
        <v>8.3257001491132796E-4</v>
      </c>
      <c r="AN10" s="2">
        <v>4.9415962495174704E-3</v>
      </c>
      <c r="AO10" s="2">
        <v>0.75917319579602605</v>
      </c>
      <c r="AP10" s="2">
        <v>0.107887659500481</v>
      </c>
      <c r="AQ10" s="2">
        <v>110970.357142857</v>
      </c>
      <c r="AR10" s="2">
        <v>601240.49442837702</v>
      </c>
      <c r="AS10" s="2">
        <v>3.6697964036513401E-3</v>
      </c>
    </row>
    <row r="11" spans="1:45">
      <c r="A11" s="1"/>
      <c r="B11" s="2"/>
      <c r="C11" s="48"/>
      <c r="D11" s="49" t="s">
        <v>123</v>
      </c>
      <c r="E11" s="49" t="s">
        <v>124</v>
      </c>
      <c r="F11" s="2"/>
      <c r="G11" s="2"/>
      <c r="H11" s="2"/>
      <c r="I11" s="2"/>
      <c r="J11" s="2"/>
      <c r="K11" s="2"/>
      <c r="L11" s="2"/>
      <c r="M11" s="2"/>
      <c r="N11" s="2"/>
      <c r="O11" s="2"/>
      <c r="R11" s="1"/>
      <c r="S11" s="2"/>
      <c r="T11" s="48"/>
      <c r="U11" s="49" t="s">
        <v>123</v>
      </c>
      <c r="V11" s="49" t="s">
        <v>124</v>
      </c>
      <c r="W11" s="2"/>
      <c r="X11" s="2"/>
      <c r="Y11" s="2"/>
      <c r="Z11" s="2"/>
      <c r="AA11" s="2"/>
      <c r="AB11" s="2"/>
      <c r="AC11" s="2"/>
      <c r="AD11" s="2"/>
      <c r="AG11" s="1"/>
      <c r="AH11" s="2"/>
      <c r="AI11" s="48"/>
      <c r="AJ11" s="49" t="s">
        <v>123</v>
      </c>
      <c r="AK11" s="49" t="s">
        <v>124</v>
      </c>
      <c r="AL11" s="2"/>
      <c r="AM11" s="2"/>
      <c r="AN11" s="2"/>
      <c r="AO11" s="2"/>
      <c r="AP11" s="2"/>
      <c r="AQ11" s="2"/>
      <c r="AR11" s="2"/>
      <c r="AS11" s="2"/>
    </row>
    <row r="12" spans="1:45">
      <c r="C12" s="50" t="s">
        <v>118</v>
      </c>
      <c r="D12" s="51">
        <f>AVERAGE(D8:D10)</f>
        <v>0.14787081304121766</v>
      </c>
      <c r="E12" s="51">
        <f>SQRT(1/SUM((1/M5^2)+(1/M6^2)+(1/M7^2)))</f>
        <v>1.7459450182973867E-3</v>
      </c>
      <c r="T12" s="50" t="s">
        <v>118</v>
      </c>
      <c r="U12" s="51">
        <f>AVERAGE(U8:U10)</f>
        <v>0.16850295088022235</v>
      </c>
      <c r="V12" s="51">
        <f>SQRT(1/SUM((1/AD5^2)+(1/AD6^2)+(1/AD7^2)))</f>
        <v>1.45651560720589E-3</v>
      </c>
      <c r="AI12" s="50" t="s">
        <v>118</v>
      </c>
      <c r="AJ12" s="51">
        <f>AVERAGE(AJ8:AJ10)</f>
        <v>0.16830688161449867</v>
      </c>
      <c r="AK12" s="51">
        <f>SQRT(1/SUM((1/AS5^2)+(1/AS6^2)+(1/AS7^2)))</f>
        <v>1.4468154067057877E-3</v>
      </c>
    </row>
    <row r="13" spans="1:45">
      <c r="C13" s="50" t="s">
        <v>119</v>
      </c>
      <c r="D13" s="51">
        <f>AVERAGE(D5:D7)</f>
        <v>0.14740422595383401</v>
      </c>
      <c r="E13" s="51">
        <f>SQRT(1/SUM((1/M8^2)+(1/M9^2)+(1/M10^2)))</f>
        <v>1.769011383956734E-3</v>
      </c>
      <c r="T13" s="50" t="s">
        <v>119</v>
      </c>
      <c r="U13" s="51">
        <f>AVERAGE(U5:U7)</f>
        <v>0.16904326622005864</v>
      </c>
      <c r="V13" s="51">
        <f>SQRT(1/SUM((1/AD8^2)+(1/AD9^2)+(1/AD10^2)))</f>
        <v>1.9820270404568886E-3</v>
      </c>
      <c r="AI13" s="50" t="s">
        <v>119</v>
      </c>
      <c r="AJ13" s="51">
        <f>AVERAGE(AJ5:AJ7)</f>
        <v>0.16968255783814734</v>
      </c>
      <c r="AK13" s="51">
        <f>SQRT(1/SUM((1/AS8^2)+(1/AS9^2)+(1/AS10^2)))</f>
        <v>2.0862972421677992E-3</v>
      </c>
    </row>
    <row r="14" spans="1:45">
      <c r="C14" s="50" t="s">
        <v>120</v>
      </c>
      <c r="D14" s="51">
        <f>D12/D13</f>
        <v>1.0031653576033144</v>
      </c>
      <c r="E14" s="51">
        <f>SQRT(E12^2+E13^2)</f>
        <v>2.4855030242359353E-3</v>
      </c>
      <c r="T14" s="50" t="s">
        <v>120</v>
      </c>
      <c r="U14" s="51">
        <f>U12/U13</f>
        <v>0.99680368610996362</v>
      </c>
      <c r="V14" s="51">
        <f>SQRT(V12^2+V13^2)</f>
        <v>2.4596481258783004E-3</v>
      </c>
      <c r="AI14" s="50" t="s">
        <v>120</v>
      </c>
      <c r="AJ14" s="51">
        <f>AJ12/AJ13</f>
        <v>0.99189264800592603</v>
      </c>
      <c r="AK14" s="51">
        <f>SQRT(AK12^2+AK13^2)</f>
        <v>2.5388798718644014E-3</v>
      </c>
    </row>
    <row r="15" spans="1:45">
      <c r="C15" s="50" t="s">
        <v>121</v>
      </c>
      <c r="D15" s="51">
        <f>(D14-1)*1000</f>
        <v>3.1653576033143782</v>
      </c>
      <c r="E15" s="51">
        <f>E14*1000</f>
        <v>2.4855030242359355</v>
      </c>
      <c r="T15" s="50" t="s">
        <v>121</v>
      </c>
      <c r="U15" s="51">
        <f>(U14-1)*1000</f>
        <v>-3.1963138900363841</v>
      </c>
      <c r="V15" s="51">
        <f>V14*1000</f>
        <v>2.4596481258783003</v>
      </c>
      <c r="AI15" s="50" t="s">
        <v>121</v>
      </c>
      <c r="AJ15" s="51">
        <f>(AJ14-1)*1000</f>
        <v>-8.1073519940739747</v>
      </c>
      <c r="AK15" s="51">
        <f>AK14*1000</f>
        <v>2.5388798718644012</v>
      </c>
    </row>
    <row r="16" spans="1:45">
      <c r="C16" s="50" t="s">
        <v>122</v>
      </c>
      <c r="D16" s="51">
        <f>1000*((((D1/1000)+1)*D14)-1)</f>
        <v>-21.311877122206504</v>
      </c>
      <c r="E16" s="51">
        <f>SQRT(E15^2+E1^2)</f>
        <v>2.5478079369304862</v>
      </c>
      <c r="T16" s="50" t="s">
        <v>122</v>
      </c>
      <c r="U16" s="51">
        <f>1000*((((U1/1000)+1)*U14)-1)</f>
        <v>-27.318963093897473</v>
      </c>
      <c r="V16" s="51">
        <f>SQRT(V15^2+V1^2)</f>
        <v>2.4952492667340143</v>
      </c>
      <c r="AI16" s="50" t="s">
        <v>122</v>
      </c>
      <c r="AJ16" s="51">
        <f>1000*((((AJ1/1000)+1)*AJ14)-1)</f>
        <v>-33.103046723823361</v>
      </c>
      <c r="AK16" s="51">
        <f>SQRT(AK15^2+AK1^2)</f>
        <v>2.5857321987704371</v>
      </c>
    </row>
    <row r="17" spans="1:45">
      <c r="C17" s="74" t="s">
        <v>265</v>
      </c>
      <c r="D17" s="75">
        <f>'Karp 2020 vals'!E17</f>
        <v>-27.03766667</v>
      </c>
      <c r="E17" s="75">
        <f>'Karp 2020 vals'!F17</f>
        <v>0.66798220202504099</v>
      </c>
      <c r="T17" s="74" t="s">
        <v>265</v>
      </c>
      <c r="U17" s="75">
        <f>'Karp 2020 vals'!G17</f>
        <v>-27.28233333</v>
      </c>
      <c r="V17" s="75">
        <f>'Karp 2020 vals'!H17</f>
        <v>0.87157380002435214</v>
      </c>
      <c r="AI17" s="76" t="s">
        <v>265</v>
      </c>
      <c r="AJ17" s="77">
        <f>'Karp 2020 vals'!I17</f>
        <v>-27.242999999999999</v>
      </c>
      <c r="AK17" s="77">
        <f>'Karp 2020 vals'!J17</f>
        <v>0.57480257480286223</v>
      </c>
    </row>
    <row r="19" spans="1:45">
      <c r="A19" s="1" t="s">
        <v>13</v>
      </c>
      <c r="B19" s="2">
        <v>178</v>
      </c>
      <c r="C19" s="2" t="s">
        <v>20</v>
      </c>
      <c r="D19" s="2">
        <v>9.6329444871549492E-3</v>
      </c>
      <c r="E19" s="2">
        <v>9.7777561570686292E-3</v>
      </c>
      <c r="F19" s="2">
        <v>1.3369346089223901E-3</v>
      </c>
      <c r="G19" s="2">
        <v>1.3237625181449801E-4</v>
      </c>
      <c r="H19" s="2">
        <v>1.35385102356842E-2</v>
      </c>
      <c r="I19" s="2">
        <v>0.83041673453415799</v>
      </c>
      <c r="J19" s="2">
        <v>0.474563000446245</v>
      </c>
      <c r="K19" s="2">
        <v>117761.32352941199</v>
      </c>
      <c r="L19" s="2">
        <v>878470.99472201301</v>
      </c>
      <c r="M19" s="2">
        <v>1.0975397827916801E-2</v>
      </c>
      <c r="N19" s="2"/>
      <c r="O19" s="2"/>
      <c r="R19" s="1" t="s">
        <v>23</v>
      </c>
      <c r="S19" s="2">
        <v>202</v>
      </c>
      <c r="T19" s="2" t="s">
        <v>20</v>
      </c>
      <c r="U19" s="2">
        <v>1.2662664477676101E-2</v>
      </c>
      <c r="V19" s="2">
        <v>1.27673562025512E-2</v>
      </c>
      <c r="W19" s="2">
        <v>1.5879804278385501E-3</v>
      </c>
      <c r="X19" s="2">
        <v>1.2922801449295E-4</v>
      </c>
      <c r="Y19" s="2">
        <v>1.01217521030022E-2</v>
      </c>
      <c r="Z19" s="2">
        <v>1.0111785563948199</v>
      </c>
      <c r="AA19" s="2">
        <v>8.3024135606912103E-2</v>
      </c>
      <c r="AB19" s="2">
        <v>110303.298013245</v>
      </c>
      <c r="AC19" s="2">
        <v>1150524.94847381</v>
      </c>
      <c r="AD19" s="2">
        <v>8.3898506205843399E-3</v>
      </c>
      <c r="AG19" s="1" t="s">
        <v>23</v>
      </c>
      <c r="AH19" s="2">
        <v>202</v>
      </c>
      <c r="AI19" s="2" t="s">
        <v>20</v>
      </c>
      <c r="AJ19" s="2">
        <v>1.27426371537159E-2</v>
      </c>
      <c r="AK19" s="2">
        <v>1.2608168171234099E-2</v>
      </c>
      <c r="AL19" s="2">
        <v>1.5914965019200201E-3</v>
      </c>
      <c r="AM19" s="2">
        <v>1.2824644284132201E-4</v>
      </c>
      <c r="AN19" s="2">
        <v>1.01716951344224E-2</v>
      </c>
      <c r="AO19" s="2">
        <v>1.01818507291074</v>
      </c>
      <c r="AP19" s="2">
        <v>6.9407623926035195E-2</v>
      </c>
      <c r="AQ19" s="2">
        <v>110266.62987013</v>
      </c>
      <c r="AR19" s="2">
        <v>1144793.27937244</v>
      </c>
      <c r="AS19" s="2">
        <v>8.3850547078722394E-3</v>
      </c>
    </row>
    <row r="20" spans="1:45">
      <c r="A20" s="1" t="s">
        <v>15</v>
      </c>
      <c r="B20" s="2">
        <v>178</v>
      </c>
      <c r="C20" s="2" t="s">
        <v>20</v>
      </c>
      <c r="D20" s="2">
        <v>9.6292063676034507E-3</v>
      </c>
      <c r="E20" s="2">
        <v>9.6933286269872496E-3</v>
      </c>
      <c r="F20" s="2">
        <v>1.23768801865256E-3</v>
      </c>
      <c r="G20" s="2">
        <v>1.2566817833707E-4</v>
      </c>
      <c r="H20" s="2">
        <v>1.2964398832739201E-2</v>
      </c>
      <c r="I20" s="2">
        <v>0.824988286744477</v>
      </c>
      <c r="J20" s="2">
        <v>0.79778198232606701</v>
      </c>
      <c r="K20" s="2">
        <v>121936.91752577299</v>
      </c>
      <c r="L20" s="2">
        <v>844477.99780186499</v>
      </c>
      <c r="M20" s="2">
        <v>1.1196247459168199E-2</v>
      </c>
      <c r="N20" s="2"/>
      <c r="O20" s="2"/>
      <c r="R20" s="1" t="s">
        <v>24</v>
      </c>
      <c r="S20" s="2">
        <v>202</v>
      </c>
      <c r="T20" s="2" t="s">
        <v>20</v>
      </c>
      <c r="U20" s="2">
        <v>1.25591706876744E-2</v>
      </c>
      <c r="V20" s="2">
        <v>1.26787501736035E-2</v>
      </c>
      <c r="W20" s="2">
        <v>1.44723690806112E-3</v>
      </c>
      <c r="X20" s="2">
        <v>1.2231384304479999E-4</v>
      </c>
      <c r="Y20" s="2">
        <v>9.6471530213957293E-3</v>
      </c>
      <c r="Z20" s="2">
        <v>0.99178843781167303</v>
      </c>
      <c r="AA20" s="2">
        <v>7.8361887314519901E-2</v>
      </c>
      <c r="AB20" s="2">
        <v>110370.764285714</v>
      </c>
      <c r="AC20" s="2">
        <v>1063904.6425215099</v>
      </c>
      <c r="AD20" s="2">
        <v>8.7596867918723707E-3</v>
      </c>
      <c r="AG20" s="1" t="s">
        <v>24</v>
      </c>
      <c r="AH20" s="2">
        <v>202</v>
      </c>
      <c r="AI20" s="2" t="s">
        <v>20</v>
      </c>
      <c r="AJ20" s="2">
        <v>1.2769347290628201E-2</v>
      </c>
      <c r="AK20" s="2">
        <v>1.27875188270981E-2</v>
      </c>
      <c r="AL20" s="2">
        <v>1.48008327712221E-3</v>
      </c>
      <c r="AM20" s="2">
        <v>1.21662095943243E-4</v>
      </c>
      <c r="AN20" s="2">
        <v>9.5141283925563799E-3</v>
      </c>
      <c r="AO20" s="2">
        <v>1.0087034642742101</v>
      </c>
      <c r="AP20" s="2">
        <v>7.0901193969222107E-2</v>
      </c>
      <c r="AQ20" s="2">
        <v>110298.03378378401</v>
      </c>
      <c r="AR20" s="2">
        <v>1103592.1972936401</v>
      </c>
      <c r="AS20" s="2">
        <v>8.5314311133469108E-3</v>
      </c>
    </row>
    <row r="21" spans="1:45">
      <c r="A21" s="1" t="s">
        <v>16</v>
      </c>
      <c r="B21" s="2">
        <v>178</v>
      </c>
      <c r="C21" s="2" t="s">
        <v>20</v>
      </c>
      <c r="D21" s="2">
        <v>9.4712065424470606E-3</v>
      </c>
      <c r="E21" s="2">
        <v>9.4882615065104703E-3</v>
      </c>
      <c r="F21" s="2">
        <v>1.41207255802345E-3</v>
      </c>
      <c r="G21" s="2">
        <v>1.41918631870337E-4</v>
      </c>
      <c r="H21" s="2">
        <v>1.4957285038250501E-2</v>
      </c>
      <c r="I21" s="2">
        <v>0.81631736200220395</v>
      </c>
      <c r="J21" s="2">
        <v>0.485154174968564</v>
      </c>
      <c r="K21" s="2">
        <v>117731.373737374</v>
      </c>
      <c r="L21" s="2">
        <v>855078.86773431604</v>
      </c>
      <c r="M21" s="2">
        <v>1.12172963954392E-2</v>
      </c>
      <c r="N21" s="2"/>
      <c r="O21" s="2"/>
      <c r="R21" s="1" t="s">
        <v>25</v>
      </c>
      <c r="S21" s="2">
        <v>202</v>
      </c>
      <c r="T21" s="2" t="s">
        <v>20</v>
      </c>
      <c r="U21" s="2">
        <v>1.25295539630579E-2</v>
      </c>
      <c r="V21" s="2">
        <v>1.24922276816754E-2</v>
      </c>
      <c r="W21" s="2">
        <v>1.51154648865007E-3</v>
      </c>
      <c r="X21" s="2">
        <v>1.2640186738878899E-4</v>
      </c>
      <c r="Y21" s="2">
        <v>1.0118440890587201E-2</v>
      </c>
      <c r="Z21" s="2">
        <v>0.99692507025060395</v>
      </c>
      <c r="AA21" s="2">
        <v>7.9517237123495496E-2</v>
      </c>
      <c r="AB21" s="2">
        <v>110326.727272727</v>
      </c>
      <c r="AC21" s="2">
        <v>1086245.1567194799</v>
      </c>
      <c r="AD21" s="2">
        <v>8.6791256614486903E-3</v>
      </c>
      <c r="AG21" s="1" t="s">
        <v>25</v>
      </c>
      <c r="AH21" s="2">
        <v>202</v>
      </c>
      <c r="AI21" s="2" t="s">
        <v>20</v>
      </c>
      <c r="AJ21" s="2">
        <v>1.27230881009928E-2</v>
      </c>
      <c r="AK21" s="2">
        <v>1.26790680030034E-2</v>
      </c>
      <c r="AL21" s="2">
        <v>1.3961154517904599E-3</v>
      </c>
      <c r="AM21" s="2">
        <v>1.15543336907054E-4</v>
      </c>
      <c r="AN21" s="2">
        <v>9.1129203565817295E-3</v>
      </c>
      <c r="AO21" s="2">
        <v>0.99919135894933497</v>
      </c>
      <c r="AP21" s="2">
        <v>6.9630018816268902E-2</v>
      </c>
      <c r="AQ21" s="2">
        <v>110288.404109589</v>
      </c>
      <c r="AR21" s="2">
        <v>1086910.6982922</v>
      </c>
      <c r="AS21" s="2">
        <v>8.6118709291665898E-3</v>
      </c>
    </row>
    <row r="22" spans="1:45">
      <c r="A22" s="1" t="s">
        <v>17</v>
      </c>
      <c r="B22" s="2">
        <v>178</v>
      </c>
      <c r="C22" s="2" t="s">
        <v>20</v>
      </c>
      <c r="D22" s="2">
        <v>9.7416223776811001E-3</v>
      </c>
      <c r="E22" s="2">
        <v>9.8893540086870298E-3</v>
      </c>
      <c r="F22" s="2">
        <v>1.2684445793306901E-3</v>
      </c>
      <c r="G22" s="2">
        <v>1.2684445793306899E-4</v>
      </c>
      <c r="H22" s="2">
        <v>1.2826364373410599E-2</v>
      </c>
      <c r="I22" s="2">
        <v>0.827081191467961</v>
      </c>
      <c r="J22" s="2">
        <v>0.100127591668701</v>
      </c>
      <c r="K22" s="2">
        <v>115362.86</v>
      </c>
      <c r="L22" s="2">
        <v>852261.71357401798</v>
      </c>
      <c r="M22" s="2">
        <v>1.1081744268727199E-2</v>
      </c>
      <c r="N22" s="2"/>
      <c r="O22" s="2"/>
      <c r="R22" s="1" t="s">
        <v>26</v>
      </c>
      <c r="S22" s="2">
        <v>202</v>
      </c>
      <c r="T22" s="2" t="s">
        <v>20</v>
      </c>
      <c r="U22" s="2">
        <v>1.25614004227383E-2</v>
      </c>
      <c r="V22" s="2">
        <v>1.2574322600892401E-2</v>
      </c>
      <c r="W22" s="2">
        <v>1.7359023979362099E-3</v>
      </c>
      <c r="X22" s="2">
        <v>1.92878044215134E-4</v>
      </c>
      <c r="Y22" s="2">
        <v>1.53390405461242E-2</v>
      </c>
      <c r="Z22" s="2">
        <v>0.785409389206977</v>
      </c>
      <c r="AA22" s="2">
        <v>9.6527002464457903E-2</v>
      </c>
      <c r="AB22" s="2">
        <v>110937.555555556</v>
      </c>
      <c r="AC22" s="2">
        <v>611052.94470857899</v>
      </c>
      <c r="AD22" s="2">
        <v>1.1557473786987901E-2</v>
      </c>
      <c r="AG22" s="1" t="s">
        <v>26</v>
      </c>
      <c r="AH22" s="2">
        <v>202</v>
      </c>
      <c r="AI22" s="2" t="s">
        <v>20</v>
      </c>
      <c r="AJ22" s="2">
        <v>1.25924730889568E-2</v>
      </c>
      <c r="AK22" s="2">
        <v>1.2579063861574501E-2</v>
      </c>
      <c r="AL22" s="2">
        <v>1.3249137066786701E-3</v>
      </c>
      <c r="AM22" s="2">
        <v>1.54018089940717E-4</v>
      </c>
      <c r="AN22" s="2">
        <v>1.22440025454675E-2</v>
      </c>
      <c r="AO22" s="2">
        <v>0.77502506709469698</v>
      </c>
      <c r="AP22" s="2">
        <v>0.10259421189743601</v>
      </c>
      <c r="AQ22" s="2">
        <v>110864.28378378401</v>
      </c>
      <c r="AR22" s="2">
        <v>552067.41190257994</v>
      </c>
      <c r="AS22" s="2">
        <v>1.2144597425457799E-2</v>
      </c>
    </row>
    <row r="23" spans="1:45">
      <c r="A23" s="1" t="s">
        <v>18</v>
      </c>
      <c r="B23" s="2">
        <v>178</v>
      </c>
      <c r="C23" s="2" t="s">
        <v>20</v>
      </c>
      <c r="D23" s="2">
        <v>9.4657077837766307E-3</v>
      </c>
      <c r="E23" s="2">
        <v>9.4150318154816101E-3</v>
      </c>
      <c r="F23" s="2">
        <v>1.3258305728048301E-3</v>
      </c>
      <c r="G23" s="2">
        <v>1.3258305728048301E-4</v>
      </c>
      <c r="H23" s="2">
        <v>1.4082061524473E-2</v>
      </c>
      <c r="I23" s="2">
        <v>0.82796843206856996</v>
      </c>
      <c r="J23" s="2">
        <v>0.10679382663762201</v>
      </c>
      <c r="K23" s="2">
        <v>115461.08</v>
      </c>
      <c r="L23" s="2">
        <v>856761.16624794202</v>
      </c>
      <c r="M23" s="2">
        <v>1.1209471496362901E-2</v>
      </c>
      <c r="N23" s="2"/>
      <c r="O23" s="2"/>
      <c r="R23" s="1" t="s">
        <v>27</v>
      </c>
      <c r="S23" s="2">
        <v>202</v>
      </c>
      <c r="T23" s="2" t="s">
        <v>20</v>
      </c>
      <c r="U23" s="2">
        <v>1.2616309061131901E-2</v>
      </c>
      <c r="V23" s="2">
        <v>1.2505083305281699E-2</v>
      </c>
      <c r="W23" s="2">
        <v>1.4409808864576899E-3</v>
      </c>
      <c r="X23" s="2">
        <v>1.6110656081986499E-4</v>
      </c>
      <c r="Y23" s="2">
        <v>1.2883285691653101E-2</v>
      </c>
      <c r="Z23" s="2">
        <v>0.78096463003543704</v>
      </c>
      <c r="AA23" s="2">
        <v>0.10114893052412099</v>
      </c>
      <c r="AB23" s="2">
        <v>110702.6375</v>
      </c>
      <c r="AC23" s="2">
        <v>607876.06374683406</v>
      </c>
      <c r="AD23" s="2">
        <v>1.1563018935507799E-2</v>
      </c>
      <c r="AG23" s="1" t="s">
        <v>27</v>
      </c>
      <c r="AH23" s="2">
        <v>202</v>
      </c>
      <c r="AI23" s="2" t="s">
        <v>20</v>
      </c>
      <c r="AJ23" s="2">
        <v>1.25314965269211E-2</v>
      </c>
      <c r="AK23" s="2">
        <v>1.26207041452924E-2</v>
      </c>
      <c r="AL23" s="2">
        <v>1.56099040250079E-3</v>
      </c>
      <c r="AM23" s="2">
        <v>1.8270010747084201E-4</v>
      </c>
      <c r="AN23" s="2">
        <v>1.4476221403144999E-2</v>
      </c>
      <c r="AO23" s="2">
        <v>0.771498674840152</v>
      </c>
      <c r="AP23" s="2">
        <v>0.106826271778045</v>
      </c>
      <c r="AQ23" s="2">
        <v>110822.273972603</v>
      </c>
      <c r="AR23" s="2">
        <v>541875.95506082696</v>
      </c>
      <c r="AS23" s="2">
        <v>1.22873189700863E-2</v>
      </c>
    </row>
    <row r="24" spans="1:45">
      <c r="A24" s="1" t="s">
        <v>19</v>
      </c>
      <c r="B24" s="2">
        <v>178</v>
      </c>
      <c r="C24" s="2" t="s">
        <v>20</v>
      </c>
      <c r="D24" s="2">
        <v>9.7381756709688395E-3</v>
      </c>
      <c r="E24" s="2">
        <v>9.9624510843902801E-3</v>
      </c>
      <c r="F24" s="2">
        <v>1.3267522826596299E-3</v>
      </c>
      <c r="G24" s="2">
        <v>1.3757780279913601E-4</v>
      </c>
      <c r="H24" s="2">
        <v>1.38096339579223E-2</v>
      </c>
      <c r="I24" s="2">
        <v>0.81722989864422102</v>
      </c>
      <c r="J24" s="2">
        <v>0.1057107840919</v>
      </c>
      <c r="K24" s="2">
        <v>115424.709677419</v>
      </c>
      <c r="L24" s="2">
        <v>795393.786223526</v>
      </c>
      <c r="M24" s="2">
        <v>1.14730497520116E-2</v>
      </c>
      <c r="N24" s="2"/>
      <c r="O24" s="2"/>
      <c r="R24" s="1" t="s">
        <v>28</v>
      </c>
      <c r="S24" s="2">
        <v>202</v>
      </c>
      <c r="T24" s="2" t="s">
        <v>20</v>
      </c>
      <c r="U24" s="2">
        <v>1.2647654484835701E-2</v>
      </c>
      <c r="V24" s="2">
        <v>1.2689410408964199E-2</v>
      </c>
      <c r="W24" s="2">
        <v>1.30578178061251E-3</v>
      </c>
      <c r="X24" s="2">
        <v>1.5077869250790899E-4</v>
      </c>
      <c r="Y24" s="2">
        <v>1.18822457189495E-2</v>
      </c>
      <c r="Z24" s="2">
        <v>0.75979844686675102</v>
      </c>
      <c r="AA24" s="2">
        <v>0.10119139499214599</v>
      </c>
      <c r="AB24" s="2">
        <v>110411.066666667</v>
      </c>
      <c r="AC24" s="2">
        <v>568322.23373523995</v>
      </c>
      <c r="AD24" s="2">
        <v>1.1944171796955E-2</v>
      </c>
      <c r="AG24" s="1" t="s">
        <v>28</v>
      </c>
      <c r="AH24" s="2">
        <v>202</v>
      </c>
      <c r="AI24" s="2" t="s">
        <v>20</v>
      </c>
      <c r="AJ24" s="2">
        <v>1.26608062585095E-2</v>
      </c>
      <c r="AK24" s="2">
        <v>1.27257215551484E-2</v>
      </c>
      <c r="AL24" s="2">
        <v>1.6885372131447099E-3</v>
      </c>
      <c r="AM24" s="2">
        <v>2.0181879850763299E-4</v>
      </c>
      <c r="AN24" s="2">
        <v>1.58591241866348E-2</v>
      </c>
      <c r="AO24" s="2">
        <v>0.75917319579602605</v>
      </c>
      <c r="AP24" s="2">
        <v>0.107887659500481</v>
      </c>
      <c r="AQ24" s="2">
        <v>110970.357142857</v>
      </c>
      <c r="AR24" s="2">
        <v>520975.77898569102</v>
      </c>
      <c r="AS24" s="2">
        <v>1.24687969770733E-2</v>
      </c>
    </row>
    <row r="25" spans="1:45">
      <c r="C25" s="44"/>
      <c r="D25" s="45" t="s">
        <v>123</v>
      </c>
      <c r="E25" s="45" t="s">
        <v>124</v>
      </c>
      <c r="T25" s="44"/>
      <c r="U25" s="45" t="s">
        <v>123</v>
      </c>
      <c r="V25" s="45" t="s">
        <v>124</v>
      </c>
      <c r="AI25" s="44"/>
      <c r="AJ25" s="45" t="s">
        <v>123</v>
      </c>
      <c r="AK25" s="45" t="s">
        <v>124</v>
      </c>
    </row>
    <row r="26" spans="1:45">
      <c r="C26" s="46" t="s">
        <v>118</v>
      </c>
      <c r="D26" s="47">
        <f>AVERAGE(D22:D24)</f>
        <v>9.6485019441421901E-3</v>
      </c>
      <c r="E26" s="47">
        <f>SQRT(1/SUM((1/M19^2)+(1/M20^2)+(1/M21^2)))</f>
        <v>6.4247649699556561E-3</v>
      </c>
      <c r="T26" s="46" t="s">
        <v>118</v>
      </c>
      <c r="U26" s="47">
        <f>AVERAGE(U22:U24)</f>
        <v>1.26084546562353E-2</v>
      </c>
      <c r="V26" s="47">
        <f>SQRT(1/SUM((1/AD19^2)+(1/AD20^2)+(1/AD21^2)))</f>
        <v>4.9681560676615071E-3</v>
      </c>
      <c r="AI26" s="46" t="s">
        <v>118</v>
      </c>
      <c r="AJ26" s="47">
        <f>AVERAGE(AJ22:AJ24)</f>
        <v>1.2594925291462467E-2</v>
      </c>
      <c r="AK26" s="47">
        <f>SQRT(1/SUM((1/AS19^2)+(1/AS20^2)+(1/AS21^2)))</f>
        <v>4.912032851714882E-3</v>
      </c>
    </row>
    <row r="27" spans="1:45">
      <c r="C27" s="46" t="s">
        <v>119</v>
      </c>
      <c r="D27" s="47">
        <f>AVERAGE(D19:D21)</f>
        <v>9.5777857990684886E-3</v>
      </c>
      <c r="E27" s="47">
        <f>SQRT(1/SUM((1/M22^2)+(1/M23^2)+(1/M24^2)))</f>
        <v>6.4959088143809211E-3</v>
      </c>
      <c r="T27" s="46" t="s">
        <v>119</v>
      </c>
      <c r="U27" s="47">
        <f>AVERAGE(U19:U21)</f>
        <v>1.2583796376136136E-2</v>
      </c>
      <c r="V27" s="47">
        <f>SQRT(1/SUM((1/AD22^2)+(1/AD23^2)+(1/AD24^2)))</f>
        <v>6.7458057510404535E-3</v>
      </c>
      <c r="AI27" s="46" t="s">
        <v>119</v>
      </c>
      <c r="AJ27" s="47">
        <f>AVERAGE(AJ19:AJ21)</f>
        <v>1.2745024181778968E-2</v>
      </c>
      <c r="AK27" s="47">
        <f>SQRT(1/SUM((1/AS22^2)+(1/AS23^2)+(1/AS24^2)))</f>
        <v>7.1003089123519133E-3</v>
      </c>
    </row>
    <row r="28" spans="1:45">
      <c r="C28" s="46" t="s">
        <v>120</v>
      </c>
      <c r="D28" s="47">
        <f>D26/D27</f>
        <v>1.0073833500307117</v>
      </c>
      <c r="E28" s="47">
        <f>SQRT(E26^2+E27^2)</f>
        <v>9.136434547673454E-3</v>
      </c>
      <c r="F28" s="56" t="s">
        <v>128</v>
      </c>
      <c r="T28" s="46" t="s">
        <v>120</v>
      </c>
      <c r="U28" s="47">
        <f>U26/U27</f>
        <v>1.0019595263116245</v>
      </c>
      <c r="V28" s="47">
        <f>SQRT(V26^2+V27^2)</f>
        <v>8.3778559275874583E-3</v>
      </c>
      <c r="W28" s="73" t="s">
        <v>128</v>
      </c>
      <c r="AI28" s="46" t="s">
        <v>120</v>
      </c>
      <c r="AJ28" s="47">
        <f>AJ26/AJ27</f>
        <v>0.98822294189672144</v>
      </c>
      <c r="AK28" s="47">
        <f>SQRT(AK26^2+AK27^2)</f>
        <v>8.633797159254452E-3</v>
      </c>
      <c r="AL28" s="73" t="s">
        <v>128</v>
      </c>
    </row>
    <row r="29" spans="1:45">
      <c r="C29" s="46" t="s">
        <v>121</v>
      </c>
      <c r="D29" s="47">
        <f>(D28-1)*1000</f>
        <v>7.3833500307116662</v>
      </c>
      <c r="E29" s="47">
        <f>E28*1000</f>
        <v>9.1364345476734545</v>
      </c>
      <c r="F29" s="55">
        <f>D29-2*D14</f>
        <v>5.3770193155050379</v>
      </c>
      <c r="T29" s="46" t="s">
        <v>121</v>
      </c>
      <c r="U29" s="47">
        <f>(U28-1)*1000</f>
        <v>1.9595263116245487</v>
      </c>
      <c r="V29" s="47">
        <f>V28*1000</f>
        <v>8.3778559275874578</v>
      </c>
      <c r="W29" s="55">
        <f>U29-2*U14</f>
        <v>-3.4081060595378521E-2</v>
      </c>
      <c r="AI29" s="46" t="s">
        <v>121</v>
      </c>
      <c r="AJ29" s="47">
        <f>(AJ28-1)*1000</f>
        <v>-11.777058103278559</v>
      </c>
      <c r="AK29" s="47">
        <f>AK28*1000</f>
        <v>8.6337971592544527</v>
      </c>
      <c r="AL29" s="55">
        <f>AJ29-2*AJ14</f>
        <v>-13.760843399290412</v>
      </c>
    </row>
    <row r="30" spans="1:45" ht="15" customHeight="1"/>
    <row r="31" spans="1:45" ht="23">
      <c r="A31" s="7" t="s">
        <v>31</v>
      </c>
    </row>
    <row r="32" spans="1:4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6</v>
      </c>
      <c r="H32" s="1" t="s">
        <v>7</v>
      </c>
      <c r="I32" s="1" t="s">
        <v>8</v>
      </c>
      <c r="J32" s="1" t="s">
        <v>9</v>
      </c>
      <c r="K32" s="1" t="s">
        <v>10</v>
      </c>
      <c r="L32" s="1" t="s">
        <v>11</v>
      </c>
      <c r="M32" s="1" t="s">
        <v>12</v>
      </c>
      <c r="N32" s="1"/>
      <c r="O32" s="1"/>
      <c r="R32" s="1" t="s">
        <v>0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  <c r="X32" s="1" t="s">
        <v>6</v>
      </c>
      <c r="Y32" s="1" t="s">
        <v>7</v>
      </c>
      <c r="Z32" s="1" t="s">
        <v>8</v>
      </c>
      <c r="AA32" s="1" t="s">
        <v>9</v>
      </c>
      <c r="AB32" s="1" t="s">
        <v>10</v>
      </c>
      <c r="AC32" s="1" t="s">
        <v>11</v>
      </c>
      <c r="AD32" s="1" t="s">
        <v>12</v>
      </c>
      <c r="AG32" s="1" t="s">
        <v>0</v>
      </c>
      <c r="AH32" s="1" t="s">
        <v>1</v>
      </c>
      <c r="AI32" s="1" t="s">
        <v>2</v>
      </c>
      <c r="AJ32" s="1" t="s">
        <v>3</v>
      </c>
      <c r="AK32" s="1" t="s">
        <v>4</v>
      </c>
      <c r="AL32" s="1" t="s">
        <v>5</v>
      </c>
      <c r="AM32" s="1" t="s">
        <v>6</v>
      </c>
      <c r="AN32" s="1" t="s">
        <v>7</v>
      </c>
      <c r="AO32" s="1" t="s">
        <v>8</v>
      </c>
      <c r="AP32" s="1" t="s">
        <v>9</v>
      </c>
      <c r="AQ32" s="1" t="s">
        <v>10</v>
      </c>
      <c r="AR32" s="1" t="s">
        <v>11</v>
      </c>
      <c r="AS32" s="1" t="s">
        <v>12</v>
      </c>
    </row>
    <row r="33" spans="1:45">
      <c r="A33" s="1" t="s">
        <v>32</v>
      </c>
      <c r="B33" s="2">
        <v>179</v>
      </c>
      <c r="C33" s="2" t="s">
        <v>20</v>
      </c>
      <c r="D33" s="2">
        <v>6.0648364872470502E-2</v>
      </c>
      <c r="E33" s="2">
        <v>6.1545803756163399E-2</v>
      </c>
      <c r="F33" s="2">
        <v>5.4668942337999403E-3</v>
      </c>
      <c r="G33" s="2">
        <v>5.6689052406508399E-4</v>
      </c>
      <c r="H33" s="2">
        <v>9.2108720573547392E-3</v>
      </c>
      <c r="I33" s="2">
        <v>0.790472181039927</v>
      </c>
      <c r="J33" s="2">
        <v>6.4918400564149395E-2</v>
      </c>
      <c r="K33" s="2">
        <v>24655.053763440901</v>
      </c>
      <c r="L33" s="2">
        <v>254209.375649842</v>
      </c>
      <c r="M33" s="2">
        <v>8.5421284270781796E-3</v>
      </c>
      <c r="N33" s="2"/>
      <c r="O33" s="2"/>
      <c r="R33" s="1" t="s">
        <v>38</v>
      </c>
      <c r="S33" s="2">
        <v>203</v>
      </c>
      <c r="T33" s="2" t="s">
        <v>20</v>
      </c>
      <c r="U33" s="2">
        <v>7.0567002495574405E-2</v>
      </c>
      <c r="V33" s="2">
        <v>6.9947123414397405E-2</v>
      </c>
      <c r="W33" s="2">
        <v>6.1020113196492698E-3</v>
      </c>
      <c r="X33" s="2">
        <v>5.8446668346770697E-4</v>
      </c>
      <c r="Y33" s="2">
        <v>8.3558358791264494E-3</v>
      </c>
      <c r="Z33" s="2">
        <v>0.91005080805243799</v>
      </c>
      <c r="AA33" s="2">
        <v>0.157924394662044</v>
      </c>
      <c r="AB33" s="2">
        <v>25733.990825688099</v>
      </c>
      <c r="AC33" s="2">
        <v>305379.46321538999</v>
      </c>
      <c r="AD33" s="2">
        <v>7.2927798658173398E-3</v>
      </c>
      <c r="AG33" s="1" t="s">
        <v>38</v>
      </c>
      <c r="AH33" s="2">
        <v>203</v>
      </c>
      <c r="AI33" s="2" t="s">
        <v>20</v>
      </c>
      <c r="AJ33" s="2">
        <v>7.0902718310871499E-2</v>
      </c>
      <c r="AK33" s="2">
        <v>7.0144984926537701E-2</v>
      </c>
      <c r="AL33" s="2">
        <v>6.8081749320782802E-3</v>
      </c>
      <c r="AM33" s="2">
        <v>6.2149849762341205E-4</v>
      </c>
      <c r="AN33" s="2">
        <v>8.8601986054213707E-3</v>
      </c>
      <c r="AO33" s="2">
        <v>0.96194991856485201</v>
      </c>
      <c r="AP33" s="2">
        <v>8.7030521964083604E-2</v>
      </c>
      <c r="AQ33" s="2">
        <v>25578.441666666698</v>
      </c>
      <c r="AR33" s="2">
        <v>334146.51404741697</v>
      </c>
      <c r="AS33" s="2">
        <v>6.9574502685950104E-3</v>
      </c>
    </row>
    <row r="34" spans="1:45">
      <c r="A34" s="1" t="s">
        <v>33</v>
      </c>
      <c r="B34" s="2">
        <v>179</v>
      </c>
      <c r="C34" s="2" t="s">
        <v>20</v>
      </c>
      <c r="D34" s="2">
        <v>6.0924186985440498E-2</v>
      </c>
      <c r="E34" s="2">
        <v>6.1548237580825997E-2</v>
      </c>
      <c r="F34" s="2">
        <v>5.7828020597304698E-3</v>
      </c>
      <c r="G34" s="2">
        <v>6.0620237129797297E-4</v>
      </c>
      <c r="H34" s="2">
        <v>9.8492238791062104E-3</v>
      </c>
      <c r="I34" s="2">
        <v>0.78367252890074302</v>
      </c>
      <c r="J34" s="2">
        <v>6.4137686754262194E-2</v>
      </c>
      <c r="K34" s="2">
        <v>24596</v>
      </c>
      <c r="L34" s="2">
        <v>247321.556359874</v>
      </c>
      <c r="M34" s="2">
        <v>8.6428802153292496E-3</v>
      </c>
      <c r="N34" s="2"/>
      <c r="O34" s="2"/>
      <c r="R34" s="1" t="s">
        <v>39</v>
      </c>
      <c r="S34" s="2">
        <v>203</v>
      </c>
      <c r="T34" s="2" t="s">
        <v>20</v>
      </c>
      <c r="U34" s="2">
        <v>7.1328735233434096E-2</v>
      </c>
      <c r="V34" s="2">
        <v>7.1590731969338697E-2</v>
      </c>
      <c r="W34" s="2">
        <v>5.9643294734166999E-3</v>
      </c>
      <c r="X34" s="2">
        <v>5.6107692015584397E-4</v>
      </c>
      <c r="Y34" s="2">
        <v>7.8372843065237195E-3</v>
      </c>
      <c r="Z34" s="2">
        <v>0.916814383095511</v>
      </c>
      <c r="AA34" s="2">
        <v>0.10066632431055</v>
      </c>
      <c r="AB34" s="2">
        <v>25571.168141592902</v>
      </c>
      <c r="AC34" s="2">
        <v>316394.41526184801</v>
      </c>
      <c r="AD34" s="2">
        <v>7.1314211959498004E-3</v>
      </c>
      <c r="AG34" s="1" t="s">
        <v>39</v>
      </c>
      <c r="AH34" s="2">
        <v>203</v>
      </c>
      <c r="AI34" s="2" t="s">
        <v>20</v>
      </c>
      <c r="AJ34" s="2">
        <v>7.1078852729071301E-2</v>
      </c>
      <c r="AK34" s="2">
        <v>7.01560495449743E-2</v>
      </c>
      <c r="AL34" s="2">
        <v>5.7030837557029701E-3</v>
      </c>
      <c r="AM34" s="2">
        <v>5.2501141492483899E-4</v>
      </c>
      <c r="AN34" s="2">
        <v>7.4834803032670103E-3</v>
      </c>
      <c r="AO34" s="2">
        <v>0.95331188627152397</v>
      </c>
      <c r="AP34" s="2">
        <v>9.0749012383534694E-2</v>
      </c>
      <c r="AQ34" s="2">
        <v>25624.567796610201</v>
      </c>
      <c r="AR34" s="2">
        <v>330426.26699380699</v>
      </c>
      <c r="AS34" s="2">
        <v>6.9889825816012796E-3</v>
      </c>
    </row>
    <row r="35" spans="1:45">
      <c r="A35" s="1" t="s">
        <v>34</v>
      </c>
      <c r="B35" s="2">
        <v>179</v>
      </c>
      <c r="C35" s="2" t="s">
        <v>20</v>
      </c>
      <c r="D35" s="2">
        <v>6.0462940820255398E-2</v>
      </c>
      <c r="E35" s="2">
        <v>6.1070784214991999E-2</v>
      </c>
      <c r="F35" s="2">
        <v>6.1519447555059802E-3</v>
      </c>
      <c r="G35" s="2">
        <v>6.4847191556422E-4</v>
      </c>
      <c r="H35" s="2">
        <v>1.06183656211349E-2</v>
      </c>
      <c r="I35" s="2">
        <v>0.78228579734049797</v>
      </c>
      <c r="J35" s="2">
        <v>5.3875431192937598E-2</v>
      </c>
      <c r="K35" s="2">
        <v>24568.5333333333</v>
      </c>
      <c r="L35" s="2">
        <v>244470.88120808799</v>
      </c>
      <c r="M35" s="2">
        <v>8.7224260035570506E-3</v>
      </c>
      <c r="N35" s="2"/>
      <c r="O35" s="2"/>
      <c r="R35" s="1" t="s">
        <v>40</v>
      </c>
      <c r="S35" s="2">
        <v>203</v>
      </c>
      <c r="T35" s="2" t="s">
        <v>20</v>
      </c>
      <c r="U35" s="2">
        <v>6.9756133324535397E-2</v>
      </c>
      <c r="V35" s="2">
        <v>6.9897027927694796E-2</v>
      </c>
      <c r="W35" s="2">
        <v>6.42540147785387E-3</v>
      </c>
      <c r="X35" s="2">
        <v>6.3620954859356998E-4</v>
      </c>
      <c r="Y35" s="2">
        <v>9.1020972916287506E-3</v>
      </c>
      <c r="Z35" s="2">
        <v>0.87889337950340396</v>
      </c>
      <c r="AA35" s="2">
        <v>0.117458021594414</v>
      </c>
      <c r="AB35" s="2">
        <v>25626.460784313698</v>
      </c>
      <c r="AC35" s="2">
        <v>284676.275492977</v>
      </c>
      <c r="AD35" s="2">
        <v>7.5913313479864198E-3</v>
      </c>
      <c r="AG35" s="1" t="s">
        <v>40</v>
      </c>
      <c r="AH35" s="2">
        <v>203</v>
      </c>
      <c r="AI35" s="2" t="s">
        <v>20</v>
      </c>
      <c r="AJ35" s="2">
        <v>7.0228191883497507E-2</v>
      </c>
      <c r="AK35" s="2">
        <v>7.01752243551549E-2</v>
      </c>
      <c r="AL35" s="2">
        <v>6.2493479410837601E-3</v>
      </c>
      <c r="AM35" s="2">
        <v>5.9857897234627099E-4</v>
      </c>
      <c r="AN35" s="2">
        <v>8.5297763968217501E-3</v>
      </c>
      <c r="AO35" s="2">
        <v>0.92888223644139201</v>
      </c>
      <c r="AP35" s="2">
        <v>8.7927515848281998E-2</v>
      </c>
      <c r="AQ35" s="2">
        <v>25527.6422018349</v>
      </c>
      <c r="AR35" s="2">
        <v>303427.02614028403</v>
      </c>
      <c r="AS35" s="2">
        <v>7.3315113811361797E-3</v>
      </c>
    </row>
    <row r="36" spans="1:45">
      <c r="A36" s="1" t="s">
        <v>35</v>
      </c>
      <c r="B36" s="2">
        <v>179</v>
      </c>
      <c r="C36" s="2" t="s">
        <v>20</v>
      </c>
      <c r="D36" s="2">
        <v>5.9950909308143799E-2</v>
      </c>
      <c r="E36" s="2">
        <v>6.0176021063052802E-2</v>
      </c>
      <c r="F36" s="2">
        <v>5.6598286288322896E-3</v>
      </c>
      <c r="G36" s="2">
        <v>6.1753793124052602E-4</v>
      </c>
      <c r="H36" s="2">
        <v>1.0262192819187299E-2</v>
      </c>
      <c r="I36" s="2">
        <v>0.78934441876325501</v>
      </c>
      <c r="J36" s="2">
        <v>5.82901532659812E-2</v>
      </c>
      <c r="K36" s="2">
        <v>24602.2976190476</v>
      </c>
      <c r="L36" s="2">
        <v>224483.92124819299</v>
      </c>
      <c r="M36" s="2">
        <v>9.1368236878049108E-3</v>
      </c>
      <c r="N36" s="2"/>
      <c r="O36" s="2"/>
      <c r="R36" s="1" t="s">
        <v>41</v>
      </c>
      <c r="S36" s="2">
        <v>203</v>
      </c>
      <c r="T36" s="2" t="s">
        <v>20</v>
      </c>
      <c r="U36" s="2">
        <v>6.9912222524731907E-2</v>
      </c>
      <c r="V36" s="2">
        <v>6.8847829611094993E-2</v>
      </c>
      <c r="W36" s="2">
        <v>6.5015960096650501E-3</v>
      </c>
      <c r="X36" s="2">
        <v>7.4578420994361196E-4</v>
      </c>
      <c r="Y36" s="2">
        <v>1.0832356141891E-2</v>
      </c>
      <c r="Z36" s="2">
        <v>0.74511681739625701</v>
      </c>
      <c r="AA36" s="2">
        <v>0.10183598623228</v>
      </c>
      <c r="AB36" s="2">
        <v>25592.2368421053</v>
      </c>
      <c r="AC36" s="2">
        <v>205667.59493661299</v>
      </c>
      <c r="AD36" s="2">
        <v>8.92254320922326E-3</v>
      </c>
      <c r="AG36" s="1" t="s">
        <v>41</v>
      </c>
      <c r="AH36" s="2">
        <v>203</v>
      </c>
      <c r="AI36" s="2" t="s">
        <v>20</v>
      </c>
      <c r="AJ36" s="2">
        <v>6.9719244257782198E-2</v>
      </c>
      <c r="AK36" s="2">
        <v>6.9435611873494299E-2</v>
      </c>
      <c r="AL36" s="2">
        <v>6.14337289325951E-3</v>
      </c>
      <c r="AM36" s="2">
        <v>7.3427350398331702E-4</v>
      </c>
      <c r="AN36" s="2">
        <v>1.05748834664423E-2</v>
      </c>
      <c r="AO36" s="2">
        <v>0.73018359342390804</v>
      </c>
      <c r="AP36" s="2">
        <v>0.109729899159102</v>
      </c>
      <c r="AQ36" s="2">
        <v>25742.328571428599</v>
      </c>
      <c r="AR36" s="2">
        <v>190363.16339668701</v>
      </c>
      <c r="AS36" s="2">
        <v>9.2854299256626398E-3</v>
      </c>
    </row>
    <row r="37" spans="1:45">
      <c r="A37" s="1" t="s">
        <v>36</v>
      </c>
      <c r="B37" s="2">
        <v>179</v>
      </c>
      <c r="C37" s="2" t="s">
        <v>20</v>
      </c>
      <c r="D37" s="2">
        <v>5.9844893038550798E-2</v>
      </c>
      <c r="E37" s="2">
        <v>6.0501276905370903E-2</v>
      </c>
      <c r="F37" s="2">
        <v>7.1225655941965001E-3</v>
      </c>
      <c r="G37" s="2">
        <v>7.86555788135316E-4</v>
      </c>
      <c r="H37" s="2">
        <v>1.30006477279075E-2</v>
      </c>
      <c r="I37" s="2">
        <v>0.783971935747656</v>
      </c>
      <c r="J37" s="2">
        <v>5.37558113635647E-2</v>
      </c>
      <c r="K37" s="2">
        <v>24509.890243902399</v>
      </c>
      <c r="L37" s="2">
        <v>218446.144019545</v>
      </c>
      <c r="M37" s="2">
        <v>9.2695056268796705E-3</v>
      </c>
      <c r="N37" s="2"/>
      <c r="O37" s="2"/>
      <c r="R37" s="1" t="s">
        <v>42</v>
      </c>
      <c r="S37" s="2">
        <v>203</v>
      </c>
      <c r="T37" s="2" t="s">
        <v>20</v>
      </c>
      <c r="U37" s="2">
        <v>7.1430389663022398E-2</v>
      </c>
      <c r="V37" s="2">
        <v>7.0988613063791797E-2</v>
      </c>
      <c r="W37" s="2">
        <v>6.4887908382007704E-3</v>
      </c>
      <c r="X37" s="2">
        <v>7.4926102743007902E-4</v>
      </c>
      <c r="Y37" s="2">
        <v>1.05546649679826E-2</v>
      </c>
      <c r="Z37" s="2">
        <v>0.744847673438497</v>
      </c>
      <c r="AA37" s="2">
        <v>9.9227091822024605E-2</v>
      </c>
      <c r="AB37" s="2">
        <v>25636.253333333301</v>
      </c>
      <c r="AC37" s="2">
        <v>204292.82573794</v>
      </c>
      <c r="AD37" s="2">
        <v>8.8694337267079693E-3</v>
      </c>
      <c r="AG37" s="1" t="s">
        <v>42</v>
      </c>
      <c r="AH37" s="2">
        <v>203</v>
      </c>
      <c r="AI37" s="2" t="s">
        <v>20</v>
      </c>
      <c r="AJ37" s="2">
        <v>6.9817009122075294E-2</v>
      </c>
      <c r="AK37" s="2">
        <v>7.0522499175764003E-2</v>
      </c>
      <c r="AL37" s="2">
        <v>5.1627374939660596E-3</v>
      </c>
      <c r="AM37" s="2">
        <v>6.1706515552715797E-4</v>
      </c>
      <c r="AN37" s="2">
        <v>8.7499048210024407E-3</v>
      </c>
      <c r="AO37" s="2">
        <v>0.72855748801076503</v>
      </c>
      <c r="AP37" s="2">
        <v>0.10233028456792299</v>
      </c>
      <c r="AQ37" s="2">
        <v>25692.9</v>
      </c>
      <c r="AR37" s="2">
        <v>189314.07579294001</v>
      </c>
      <c r="AS37" s="2">
        <v>9.3054509784507699E-3</v>
      </c>
    </row>
    <row r="38" spans="1:45">
      <c r="A38" s="1" t="s">
        <v>37</v>
      </c>
      <c r="B38" s="2">
        <v>179</v>
      </c>
      <c r="C38" s="2" t="s">
        <v>20</v>
      </c>
      <c r="D38" s="2">
        <v>6.0435054618322603E-2</v>
      </c>
      <c r="E38" s="2">
        <v>6.1948514974373599E-2</v>
      </c>
      <c r="F38" s="2">
        <v>5.2563846873882802E-3</v>
      </c>
      <c r="G38" s="2">
        <v>5.7351858837532401E-4</v>
      </c>
      <c r="H38" s="2">
        <v>9.2579876791650702E-3</v>
      </c>
      <c r="I38" s="2">
        <v>0.802413960139857</v>
      </c>
      <c r="J38" s="2">
        <v>4.7449063759923402E-2</v>
      </c>
      <c r="K38" s="2">
        <v>24549.5476190476</v>
      </c>
      <c r="L38" s="2">
        <v>224384.63146033901</v>
      </c>
      <c r="M38" s="2">
        <v>9.1063232443225808E-3</v>
      </c>
      <c r="N38" s="2"/>
      <c r="O38" s="2"/>
      <c r="R38" s="1" t="s">
        <v>43</v>
      </c>
      <c r="S38" s="2">
        <v>203</v>
      </c>
      <c r="T38" s="2" t="s">
        <v>20</v>
      </c>
      <c r="U38" s="2">
        <v>7.0865395727187697E-2</v>
      </c>
      <c r="V38" s="2">
        <v>7.1426455849625994E-2</v>
      </c>
      <c r="W38" s="2">
        <v>6.0017628198815601E-3</v>
      </c>
      <c r="X38" s="2">
        <v>6.7956582053347897E-4</v>
      </c>
      <c r="Y38" s="2">
        <v>9.5142032801426996E-3</v>
      </c>
      <c r="Z38" s="2">
        <v>0.76450769843088695</v>
      </c>
      <c r="AA38" s="2">
        <v>0.100866494646355</v>
      </c>
      <c r="AB38" s="2">
        <v>25640.897435897401</v>
      </c>
      <c r="AC38" s="2">
        <v>212423.91349684901</v>
      </c>
      <c r="AD38" s="2">
        <v>8.7280268527111897E-3</v>
      </c>
      <c r="AG38" s="1" t="s">
        <v>43</v>
      </c>
      <c r="AH38" s="2">
        <v>203</v>
      </c>
      <c r="AI38" s="2" t="s">
        <v>20</v>
      </c>
      <c r="AJ38" s="2">
        <v>6.9784321201956906E-2</v>
      </c>
      <c r="AK38" s="2">
        <v>7.0542223350164204E-2</v>
      </c>
      <c r="AL38" s="2">
        <v>6.6626841818330897E-3</v>
      </c>
      <c r="AM38" s="2">
        <v>7.8520486097975305E-4</v>
      </c>
      <c r="AN38" s="2">
        <v>1.1130991109850301E-2</v>
      </c>
      <c r="AO38" s="2">
        <v>0.75216178235763798</v>
      </c>
      <c r="AP38" s="2">
        <v>0.105237722949113</v>
      </c>
      <c r="AQ38" s="2">
        <v>25793.902777777799</v>
      </c>
      <c r="AR38" s="2">
        <v>196209.87479711699</v>
      </c>
      <c r="AS38" s="2">
        <v>9.1423294857616091E-3</v>
      </c>
    </row>
    <row r="39" spans="1:45">
      <c r="C39" s="52"/>
      <c r="D39" s="42" t="s">
        <v>123</v>
      </c>
      <c r="E39" s="42" t="s">
        <v>124</v>
      </c>
      <c r="T39" s="52"/>
      <c r="U39" s="42" t="s">
        <v>123</v>
      </c>
      <c r="V39" s="42" t="s">
        <v>124</v>
      </c>
      <c r="AI39" s="52"/>
      <c r="AJ39" s="42" t="s">
        <v>123</v>
      </c>
      <c r="AK39" s="42" t="s">
        <v>124</v>
      </c>
    </row>
    <row r="40" spans="1:45">
      <c r="C40" s="52" t="s">
        <v>118</v>
      </c>
      <c r="D40" s="53">
        <f>AVERAGE(D36:D38)</f>
        <v>6.00769523216724E-2</v>
      </c>
      <c r="E40" s="54">
        <f>SQRT(1/SUM((1/M33^2)+(1/M34^2)+(1/M35^2)))</f>
        <v>4.9853413985347286E-3</v>
      </c>
      <c r="T40" s="52" t="s">
        <v>118</v>
      </c>
      <c r="U40" s="53">
        <f>AVERAGE(U36:U38)</f>
        <v>7.0736002638313991E-2</v>
      </c>
      <c r="V40" s="54">
        <f>SQRT(1/SUM((1/AD33^2)+(1/AD34^2)+(1/AD35^2)))</f>
        <v>4.2326581482244417E-3</v>
      </c>
      <c r="AI40" s="52" t="s">
        <v>118</v>
      </c>
      <c r="AJ40" s="53">
        <f>AVERAGE(AJ36:AJ38)</f>
        <v>6.9773524860604799E-2</v>
      </c>
      <c r="AK40" s="54">
        <f>SQRT(1/SUM((1/AS33^2)+(1/AS34^2)+(1/AS35^2)))</f>
        <v>4.0915150529400729E-3</v>
      </c>
    </row>
    <row r="41" spans="1:45">
      <c r="C41" s="52" t="s">
        <v>125</v>
      </c>
      <c r="D41" s="42">
        <f>D40*D12</f>
        <v>8.8836277848441669E-3</v>
      </c>
      <c r="E41" s="42">
        <f>SQRT(E40^2+E12^2)</f>
        <v>5.2822299142371368E-3</v>
      </c>
      <c r="T41" s="52" t="s">
        <v>125</v>
      </c>
      <c r="U41" s="42">
        <f>U40*U12</f>
        <v>1.19192251780271E-2</v>
      </c>
      <c r="V41" s="42">
        <f>SQRT(V40^2+V12^2)</f>
        <v>4.4762520833578068E-3</v>
      </c>
      <c r="AI41" s="52" t="s">
        <v>125</v>
      </c>
      <c r="AJ41" s="42">
        <f>AJ40*AJ12</f>
        <v>1.1743364388540092E-2</v>
      </c>
      <c r="AK41" s="42">
        <f>SQRT(AK40^2+AK12^2)</f>
        <v>4.3397891941333328E-3</v>
      </c>
    </row>
    <row r="42" spans="1:45">
      <c r="C42" s="52" t="s">
        <v>119</v>
      </c>
      <c r="D42" s="53">
        <f>AVERAGE(D33:D35)</f>
        <v>6.067849755938879E-2</v>
      </c>
      <c r="E42" s="54">
        <f>SQRT(1/SUM((1/M36^2)+(1/M37^2)+(1/M38^2)))</f>
        <v>5.2943415506067548E-3</v>
      </c>
      <c r="T42" s="52" t="s">
        <v>119</v>
      </c>
      <c r="U42" s="53">
        <f>AVERAGE(U33:U35)</f>
        <v>7.0550623684514632E-2</v>
      </c>
      <c r="V42" s="54">
        <f>SQRT(1/SUM((1/AD36^2)+(1/AD37^2)+(1/AD38^2)))</f>
        <v>5.1031128546159595E-3</v>
      </c>
      <c r="AI42" s="52" t="s">
        <v>119</v>
      </c>
      <c r="AJ42" s="53">
        <f>AVERAGE(AJ33:AJ35)</f>
        <v>7.0736587641146764E-2</v>
      </c>
      <c r="AK42" s="54">
        <f>SQRT(1/SUM((1/AS36^2)+(1/AS37^2)+(1/AS38^2)))</f>
        <v>5.3367610717564348E-3</v>
      </c>
    </row>
    <row r="43" spans="1:45">
      <c r="C43" s="52" t="s">
        <v>126</v>
      </c>
      <c r="D43" s="42">
        <f>D42*D13</f>
        <v>8.9442669647833116E-3</v>
      </c>
      <c r="E43" s="42">
        <f>SQRT(E42^2+E13^2)</f>
        <v>5.5820653642759911E-3</v>
      </c>
      <c r="T43" s="52" t="s">
        <v>126</v>
      </c>
      <c r="U43" s="42">
        <f>U42*U13</f>
        <v>1.192610786149258E-2</v>
      </c>
      <c r="V43" s="42">
        <f>SQRT(V42^2+V13^2)</f>
        <v>5.4745038127714312E-3</v>
      </c>
      <c r="AI43" s="52" t="s">
        <v>126</v>
      </c>
      <c r="AJ43" s="42">
        <f>AJ42*AJ13</f>
        <v>1.2002765123692064E-2</v>
      </c>
      <c r="AK43" s="42">
        <f>SQRT(AK42^2+AK13^2)</f>
        <v>5.7300658739400075E-3</v>
      </c>
    </row>
    <row r="44" spans="1:45">
      <c r="C44" s="52" t="s">
        <v>120</v>
      </c>
      <c r="D44" s="53">
        <f>D41/D43</f>
        <v>0.99322032982938657</v>
      </c>
      <c r="E44" s="53">
        <f>SQRT(E41^2+E43^2)</f>
        <v>7.6851419373952564E-3</v>
      </c>
      <c r="F44" s="56" t="s">
        <v>128</v>
      </c>
      <c r="T44" s="52" t="s">
        <v>120</v>
      </c>
      <c r="U44" s="53">
        <f>U41/U43</f>
        <v>0.99942288938307333</v>
      </c>
      <c r="V44" s="53">
        <f>SQRT(V41^2+V43^2)</f>
        <v>7.0715645164145993E-3</v>
      </c>
      <c r="W44" s="56" t="s">
        <v>128</v>
      </c>
      <c r="AI44" s="52" t="s">
        <v>120</v>
      </c>
      <c r="AJ44" s="53">
        <f>AJ41/AJ43</f>
        <v>0.97838825200037072</v>
      </c>
      <c r="AK44" s="53">
        <f>SQRT(AK41^2+AK43^2)</f>
        <v>7.1880056461586274E-3</v>
      </c>
      <c r="AL44" s="56" t="s">
        <v>128</v>
      </c>
    </row>
    <row r="45" spans="1:45">
      <c r="C45" s="52" t="s">
        <v>127</v>
      </c>
      <c r="D45" s="53">
        <f>1000*(D44-1)</f>
        <v>-6.7796701706134277</v>
      </c>
      <c r="E45" s="53">
        <f>E44*1000</f>
        <v>7.6851419373952563</v>
      </c>
      <c r="F45" s="55">
        <f>D45-2*D15</f>
        <v>-13.110385377242185</v>
      </c>
      <c r="T45" s="52" t="s">
        <v>127</v>
      </c>
      <c r="U45" s="53">
        <f>1000*(U44-1)</f>
        <v>-0.57711061692666821</v>
      </c>
      <c r="V45" s="53">
        <f>V44*1000</f>
        <v>7.0715645164145995</v>
      </c>
      <c r="W45" s="55">
        <f>U45-2*U15</f>
        <v>5.8155171631461</v>
      </c>
      <c r="AI45" s="52" t="s">
        <v>127</v>
      </c>
      <c r="AJ45" s="53">
        <f>1000*(AJ44-1)</f>
        <v>-21.611747999629284</v>
      </c>
      <c r="AK45" s="53">
        <f>AK44*1000</f>
        <v>7.1880056461586275</v>
      </c>
      <c r="AL45" s="55">
        <f>AJ45-2*AJ15</f>
        <v>-5.3970440114813343</v>
      </c>
    </row>
    <row r="47" spans="1:45">
      <c r="C47" s="78"/>
      <c r="F47" s="56"/>
      <c r="T47" s="78"/>
      <c r="W47" s="56"/>
      <c r="AI47" s="78"/>
      <c r="AL47" s="56"/>
    </row>
    <row r="48" spans="1:45" ht="14" customHeight="1">
      <c r="C48" s="78"/>
      <c r="F48" s="55"/>
      <c r="T48" s="78"/>
      <c r="W48" s="55"/>
      <c r="AI48" s="78"/>
      <c r="AL48" s="55"/>
    </row>
    <row r="49" customForma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920A3-CB5A-D74A-AC93-D4B045237970}">
  <dimension ref="A1:W58"/>
  <sheetViews>
    <sheetView tabSelected="1" topLeftCell="H22" zoomScale="56" workbookViewId="0">
      <selection activeCell="R33" sqref="R33"/>
    </sheetView>
  </sheetViews>
  <sheetFormatPr baseColWidth="10" defaultRowHeight="16"/>
  <cols>
    <col min="1" max="1" width="19.5" style="11" customWidth="1"/>
    <col min="2" max="2" width="24" style="11" customWidth="1"/>
    <col min="3" max="5" width="14.83203125" style="11" customWidth="1"/>
    <col min="6" max="6" width="18.5" style="11" customWidth="1"/>
    <col min="7" max="7" width="26.6640625" style="11" customWidth="1"/>
    <col min="8" max="8" width="17.83203125" style="11" customWidth="1"/>
    <col min="9" max="9" width="18.1640625" style="11" customWidth="1"/>
    <col min="10" max="10" width="15.83203125" style="11" customWidth="1"/>
    <col min="11" max="11" width="17.5" style="11" customWidth="1"/>
    <col min="12" max="12" width="13.5" style="11" customWidth="1"/>
    <col min="13" max="13" width="15.1640625" style="11" customWidth="1"/>
    <col min="14" max="14" width="15.33203125" style="11" customWidth="1"/>
    <col min="15" max="15" width="25.83203125" style="11" customWidth="1"/>
    <col min="16" max="16" width="24.5" style="11" customWidth="1"/>
    <col min="17" max="17" width="16.1640625" style="11" customWidth="1"/>
    <col min="18" max="18" width="10.83203125" style="11"/>
    <col min="19" max="19" width="18.33203125" style="11" customWidth="1"/>
    <col min="20" max="20" width="13.1640625" style="11" bestFit="1" customWidth="1"/>
    <col min="21" max="16384" width="10.83203125" style="11"/>
  </cols>
  <sheetData>
    <row r="1" spans="1:18" ht="17">
      <c r="A1" s="9"/>
      <c r="B1" s="10" t="s">
        <v>84</v>
      </c>
      <c r="C1" s="9"/>
      <c r="E1" s="12"/>
      <c r="F1" s="13" t="s">
        <v>85</v>
      </c>
      <c r="G1" s="14" t="s">
        <v>86</v>
      </c>
      <c r="H1" s="15" t="s">
        <v>87</v>
      </c>
    </row>
    <row r="2" spans="1:18">
      <c r="A2" s="16" t="s">
        <v>88</v>
      </c>
      <c r="B2" s="17">
        <v>1.1237199999999999E-2</v>
      </c>
      <c r="C2" s="17"/>
      <c r="E2" s="18" t="s">
        <v>89</v>
      </c>
      <c r="F2" s="12">
        <v>16</v>
      </c>
      <c r="G2" s="12">
        <v>14</v>
      </c>
      <c r="H2" s="11">
        <v>10</v>
      </c>
      <c r="I2" s="12"/>
      <c r="J2" s="12"/>
      <c r="K2" s="12"/>
      <c r="L2" s="12"/>
      <c r="M2" s="12"/>
    </row>
    <row r="3" spans="1:18">
      <c r="A3" s="16" t="s">
        <v>90</v>
      </c>
      <c r="B3" s="17">
        <f>1-B2</f>
        <v>0.98876280000000005</v>
      </c>
      <c r="C3" s="17"/>
      <c r="E3" s="18" t="s">
        <v>91</v>
      </c>
      <c r="F3" s="12">
        <f>B3^15 *B2</f>
        <v>9.4850558150320688E-3</v>
      </c>
      <c r="G3" s="12">
        <f>B3^13 *B2</f>
        <v>9.7018745228647472E-3</v>
      </c>
      <c r="H3" s="11">
        <f>B3^9 *B2</f>
        <v>1.0150493997434191E-2</v>
      </c>
      <c r="I3" s="12"/>
      <c r="J3" s="12"/>
      <c r="K3" s="12"/>
      <c r="L3" s="12"/>
      <c r="M3" s="12"/>
    </row>
    <row r="4" spans="1:18">
      <c r="A4" s="16" t="s">
        <v>92</v>
      </c>
      <c r="B4" s="17">
        <f>B2/B3</f>
        <v>1.1364909764000019E-2</v>
      </c>
      <c r="C4" s="17"/>
      <c r="E4" s="18" t="s">
        <v>93</v>
      </c>
      <c r="F4" s="12">
        <f>B3^14 *B2^2</f>
        <v>1.0779680344434312E-4</v>
      </c>
      <c r="G4" s="12">
        <f>B3^12 *B2^2</f>
        <v>1.102609284940086E-4</v>
      </c>
      <c r="H4" s="11">
        <f>B3^8 *B2^2</f>
        <v>1.1535944834086342E-4</v>
      </c>
      <c r="I4" s="12"/>
      <c r="J4" s="12"/>
      <c r="K4" s="12"/>
      <c r="L4" s="12"/>
      <c r="M4" s="12"/>
    </row>
    <row r="5" spans="1:18">
      <c r="A5" s="16" t="s">
        <v>94</v>
      </c>
      <c r="B5" s="17">
        <f>B2^2*B3^14</f>
        <v>1.0779680344434312E-4</v>
      </c>
      <c r="C5" s="17">
        <f>B5/B4</f>
        <v>9.4850558150320688E-3</v>
      </c>
      <c r="F5" s="12"/>
      <c r="G5" s="12"/>
      <c r="H5" s="12"/>
      <c r="I5" s="12"/>
      <c r="J5" s="12"/>
      <c r="K5" s="12"/>
      <c r="L5" s="12"/>
      <c r="M5" s="12"/>
    </row>
    <row r="6" spans="1:18">
      <c r="B6" s="12"/>
      <c r="C6" s="12"/>
      <c r="D6" s="12"/>
      <c r="F6" s="12"/>
      <c r="G6" s="12"/>
      <c r="H6" s="12"/>
      <c r="I6" s="12"/>
      <c r="J6" s="12"/>
      <c r="K6" s="12"/>
      <c r="L6" s="12"/>
      <c r="M6" s="12"/>
    </row>
    <row r="7" spans="1:18">
      <c r="B7" s="12"/>
      <c r="C7" s="12"/>
      <c r="D7" s="12"/>
      <c r="F7" s="12"/>
      <c r="G7" s="12"/>
      <c r="H7" s="12"/>
      <c r="I7" s="12"/>
      <c r="J7" s="12"/>
      <c r="K7" s="12"/>
      <c r="L7" s="12"/>
      <c r="M7" s="12"/>
    </row>
    <row r="8" spans="1:18">
      <c r="A8" s="19" t="s">
        <v>95</v>
      </c>
      <c r="F8" s="12"/>
      <c r="G8" s="12"/>
      <c r="H8" s="12"/>
      <c r="I8" s="12"/>
      <c r="J8" s="12"/>
      <c r="K8" s="12"/>
      <c r="L8" s="12"/>
      <c r="M8" s="12"/>
    </row>
    <row r="9" spans="1:18" s="27" customFormat="1" ht="34">
      <c r="A9" s="20" t="s">
        <v>96</v>
      </c>
      <c r="B9" s="20" t="s">
        <v>97</v>
      </c>
      <c r="C9" s="20" t="s">
        <v>98</v>
      </c>
      <c r="D9" s="20" t="s">
        <v>88</v>
      </c>
      <c r="E9" s="20" t="s">
        <v>90</v>
      </c>
      <c r="F9" s="21" t="s">
        <v>99</v>
      </c>
      <c r="G9" s="21" t="s">
        <v>100</v>
      </c>
      <c r="H9" s="22" t="s">
        <v>101</v>
      </c>
      <c r="I9" s="23" t="s">
        <v>102</v>
      </c>
      <c r="J9" s="14" t="s">
        <v>103</v>
      </c>
      <c r="K9" s="14" t="s">
        <v>104</v>
      </c>
      <c r="L9" s="24" t="s">
        <v>105</v>
      </c>
      <c r="M9" s="24" t="s">
        <v>106</v>
      </c>
      <c r="N9" s="25" t="s">
        <v>107</v>
      </c>
      <c r="O9" s="26"/>
      <c r="R9" s="26"/>
    </row>
    <row r="10" spans="1:18">
      <c r="A10" s="12">
        <v>0</v>
      </c>
      <c r="B10" s="12">
        <f>(A10/1000)+1</f>
        <v>1</v>
      </c>
      <c r="C10" s="12">
        <f t="shared" ref="C10:C20" si="0">B10*$B$4</f>
        <v>1.1364909764000019E-2</v>
      </c>
      <c r="D10" s="12">
        <f t="shared" ref="D10:D20" si="1">C10/(1+C10)</f>
        <v>1.1237199999999998E-2</v>
      </c>
      <c r="E10" s="12">
        <f>1-D10</f>
        <v>0.98876280000000005</v>
      </c>
      <c r="F10" s="28">
        <f>E10^14*D10^2</f>
        <v>1.0779680344434309E-4</v>
      </c>
      <c r="G10" s="28">
        <f>F10/E10^16</f>
        <v>1.2916117394386293E-4</v>
      </c>
      <c r="H10" s="28">
        <f>G10*((16*15) /2)</f>
        <v>1.5499340873263552E-2</v>
      </c>
      <c r="I10" s="29">
        <f t="shared" ref="I10:I20" si="2">E10^12*D10^2</f>
        <v>1.1026092849400857E-4</v>
      </c>
      <c r="J10" s="30">
        <f>I10/E10^14</f>
        <v>1.2916117394386298E-4</v>
      </c>
      <c r="K10" s="30">
        <f>J10*((14*13)/2)</f>
        <v>1.1753666828891531E-2</v>
      </c>
      <c r="L10" s="31">
        <f t="shared" ref="L10:L20" si="3">E10^8*D10^2</f>
        <v>1.1535944834086341E-4</v>
      </c>
      <c r="M10" s="31">
        <f>L10/E10^10</f>
        <v>1.2916117394386295E-4</v>
      </c>
      <c r="N10" s="32">
        <f>M10*((10*9)/2)</f>
        <v>5.8122528274738329E-3</v>
      </c>
    </row>
    <row r="11" spans="1:18">
      <c r="A11" s="12">
        <v>-5</v>
      </c>
      <c r="B11" s="12">
        <f t="shared" ref="B11:B20" si="4">(A11/1000)+1</f>
        <v>0.995</v>
      </c>
      <c r="C11" s="12">
        <f t="shared" si="0"/>
        <v>1.1308085215180019E-2</v>
      </c>
      <c r="D11" s="12">
        <f t="shared" si="1"/>
        <v>1.1181642251751554E-2</v>
      </c>
      <c r="E11" s="12">
        <f t="shared" ref="E11:E20" si="5">1-D11</f>
        <v>0.98881835774824844</v>
      </c>
      <c r="F11" s="28">
        <f>E11^14*D11^2</f>
        <v>1.0681751625905236E-4</v>
      </c>
      <c r="G11" s="28">
        <f t="shared" ref="G11:G20" si="6">F11/E11^16</f>
        <v>1.278727912337729E-4</v>
      </c>
      <c r="H11" s="28">
        <f>G11*((16*15) /2)</f>
        <v>1.5344734948052748E-2</v>
      </c>
      <c r="I11" s="29">
        <f t="shared" si="2"/>
        <v>1.0924697846567155E-4</v>
      </c>
      <c r="J11" s="30">
        <f t="shared" ref="J11:J20" si="7">I11/E11^14</f>
        <v>1.278727912337729E-4</v>
      </c>
      <c r="K11" s="30">
        <f>J11*((14*13)/2)</f>
        <v>1.1636424002273334E-2</v>
      </c>
      <c r="L11" s="31">
        <f t="shared" si="3"/>
        <v>1.1427292699936173E-4</v>
      </c>
      <c r="M11" s="31">
        <f t="shared" ref="M11:M20" si="8">L11/E11^10</f>
        <v>1.278727912337729E-4</v>
      </c>
      <c r="N11" s="32">
        <f t="shared" ref="N11:N20" si="9">M11*((10*9)/2)</f>
        <v>5.7542756055197807E-3</v>
      </c>
    </row>
    <row r="12" spans="1:18">
      <c r="A12" s="12">
        <v>-10</v>
      </c>
      <c r="B12" s="12">
        <f t="shared" si="4"/>
        <v>0.99</v>
      </c>
      <c r="C12" s="12">
        <f>B12*$B$4</f>
        <v>1.1251260666360018E-2</v>
      </c>
      <c r="D12" s="12">
        <f t="shared" si="1"/>
        <v>1.1126078259666194E-2</v>
      </c>
      <c r="E12" s="12">
        <f>1-D12</f>
        <v>0.98887392174033384</v>
      </c>
      <c r="F12" s="28">
        <f>E12^14*D12^2</f>
        <v>1.0584178520764198E-4</v>
      </c>
      <c r="G12" s="28">
        <f t="shared" si="6"/>
        <v>1.2659086658238009E-4</v>
      </c>
      <c r="H12" s="28">
        <f t="shared" ref="H12:H20" si="10">G12*((16*15) /2)</f>
        <v>1.5190903989885611E-2</v>
      </c>
      <c r="I12" s="29">
        <f t="shared" si="2"/>
        <v>1.0823689084048018E-4</v>
      </c>
      <c r="J12" s="30">
        <f t="shared" si="7"/>
        <v>1.2659086658238012E-4</v>
      </c>
      <c r="K12" s="30">
        <f t="shared" ref="K12:K20" si="11">J12*((14*13)/2)</f>
        <v>1.1519768858996591E-2</v>
      </c>
      <c r="L12" s="31">
        <f t="shared" si="3"/>
        <v>1.1319092592627456E-4</v>
      </c>
      <c r="M12" s="31">
        <f t="shared" si="8"/>
        <v>1.2659086658238012E-4</v>
      </c>
      <c r="N12" s="32">
        <f t="shared" si="9"/>
        <v>5.6965889962071053E-3</v>
      </c>
    </row>
    <row r="13" spans="1:18">
      <c r="A13" s="12">
        <v>-15</v>
      </c>
      <c r="B13" s="12">
        <f t="shared" si="4"/>
        <v>0.98499999999999999</v>
      </c>
      <c r="C13" s="12">
        <f t="shared" si="0"/>
        <v>1.1194436117540018E-2</v>
      </c>
      <c r="D13" s="12">
        <f t="shared" si="1"/>
        <v>1.1070508022691286E-2</v>
      </c>
      <c r="E13" s="12">
        <f t="shared" si="5"/>
        <v>0.98892949197730873</v>
      </c>
      <c r="F13" s="28">
        <f t="shared" ref="F13:F20" si="12">E13^14*D13^2</f>
        <v>1.0486962217912392E-4</v>
      </c>
      <c r="G13" s="28">
        <f t="shared" si="6"/>
        <v>1.2531539998968442E-4</v>
      </c>
      <c r="H13" s="28">
        <f t="shared" si="10"/>
        <v>1.503784799876213E-2</v>
      </c>
      <c r="I13" s="29">
        <f t="shared" si="2"/>
        <v>1.0723067653008358E-4</v>
      </c>
      <c r="J13" s="30">
        <f t="shared" si="7"/>
        <v>1.2531539998968442E-4</v>
      </c>
      <c r="K13" s="30">
        <f t="shared" si="11"/>
        <v>1.1403701399061281E-2</v>
      </c>
      <c r="L13" s="31">
        <f t="shared" si="3"/>
        <v>1.1211345368566564E-4</v>
      </c>
      <c r="M13" s="31">
        <f t="shared" si="8"/>
        <v>1.2531539998968444E-4</v>
      </c>
      <c r="N13" s="32">
        <f t="shared" si="9"/>
        <v>5.6391929995358E-3</v>
      </c>
    </row>
    <row r="14" spans="1:18">
      <c r="A14" s="12">
        <v>-20</v>
      </c>
      <c r="B14" s="12">
        <f t="shared" si="4"/>
        <v>0.98</v>
      </c>
      <c r="C14" s="12">
        <f t="shared" si="0"/>
        <v>1.1137611568720018E-2</v>
      </c>
      <c r="D14" s="12">
        <f t="shared" si="1"/>
        <v>1.1014931539773972E-2</v>
      </c>
      <c r="E14" s="12">
        <f t="shared" si="5"/>
        <v>0.98898506846022605</v>
      </c>
      <c r="F14" s="28">
        <f t="shared" si="12"/>
        <v>1.039010390867185E-4</v>
      </c>
      <c r="G14" s="28">
        <f t="shared" si="6"/>
        <v>1.2404639145568598E-4</v>
      </c>
      <c r="H14" s="28">
        <f>G14*((16*15) /2)</f>
        <v>1.4885566974682317E-2</v>
      </c>
      <c r="I14" s="29">
        <f t="shared" si="2"/>
        <v>1.0622834646555423E-4</v>
      </c>
      <c r="J14" s="30">
        <f t="shared" si="7"/>
        <v>1.2404639145568598E-4</v>
      </c>
      <c r="K14" s="30">
        <f t="shared" si="11"/>
        <v>1.1288221622467424E-2</v>
      </c>
      <c r="L14" s="31">
        <f t="shared" si="3"/>
        <v>1.1104051885258135E-4</v>
      </c>
      <c r="M14" s="31">
        <f t="shared" si="8"/>
        <v>1.2404639145568598E-4</v>
      </c>
      <c r="N14" s="32">
        <f t="shared" si="9"/>
        <v>5.5820876155058688E-3</v>
      </c>
    </row>
    <row r="15" spans="1:18" s="33" customFormat="1">
      <c r="A15" s="33">
        <v>-24</v>
      </c>
      <c r="B15" s="33">
        <f t="shared" si="4"/>
        <v>0.97599999999999998</v>
      </c>
      <c r="C15" s="33">
        <f t="shared" si="0"/>
        <v>1.1092151929664017E-2</v>
      </c>
      <c r="D15" s="33">
        <f t="shared" si="1"/>
        <v>1.0970465855653913E-2</v>
      </c>
      <c r="E15" s="33">
        <f t="shared" si="5"/>
        <v>0.98902953414434613</v>
      </c>
      <c r="F15" s="34">
        <f t="shared" si="12"/>
        <v>1.0312875818795935E-4</v>
      </c>
      <c r="G15" s="28">
        <f t="shared" si="6"/>
        <v>1.2303583443074918E-4</v>
      </c>
      <c r="H15" s="34">
        <f t="shared" si="10"/>
        <v>1.4764300131689901E-2</v>
      </c>
      <c r="I15" s="35">
        <f t="shared" si="2"/>
        <v>1.0542928642905365E-4</v>
      </c>
      <c r="J15" s="30">
        <f t="shared" si="7"/>
        <v>1.2303583443074918E-4</v>
      </c>
      <c r="K15" s="35">
        <f t="shared" si="11"/>
        <v>1.1196260933198175E-2</v>
      </c>
      <c r="L15" s="36">
        <f t="shared" si="3"/>
        <v>1.1018544368898143E-4</v>
      </c>
      <c r="M15" s="31">
        <f t="shared" si="8"/>
        <v>1.2303583443074918E-4</v>
      </c>
      <c r="N15" s="36">
        <f t="shared" si="9"/>
        <v>5.5366125493837128E-3</v>
      </c>
    </row>
    <row r="16" spans="1:18">
      <c r="A16" s="12">
        <v>-25</v>
      </c>
      <c r="B16" s="12">
        <f>(A16/1000)+1</f>
        <v>0.97499999999999998</v>
      </c>
      <c r="C16" s="12">
        <f t="shared" si="0"/>
        <v>1.1080787019900019E-2</v>
      </c>
      <c r="D16" s="12">
        <f t="shared" si="1"/>
        <v>1.0959348809861151E-2</v>
      </c>
      <c r="E16" s="12">
        <f t="shared" si="5"/>
        <v>0.98904065119013884</v>
      </c>
      <c r="F16" s="28">
        <f t="shared" si="12"/>
        <v>1.0293604786789571E-4</v>
      </c>
      <c r="G16" s="28">
        <f t="shared" si="6"/>
        <v>1.227838409803847E-4</v>
      </c>
      <c r="H16" s="28">
        <f t="shared" si="10"/>
        <v>1.4734060917646164E-2</v>
      </c>
      <c r="I16" s="29">
        <f t="shared" si="2"/>
        <v>1.0522991159741706E-4</v>
      </c>
      <c r="J16" s="30">
        <f t="shared" si="7"/>
        <v>1.2278384098038473E-4</v>
      </c>
      <c r="K16" s="30">
        <f t="shared" si="11"/>
        <v>1.1173329529215011E-2</v>
      </c>
      <c r="L16" s="31">
        <f t="shared" si="3"/>
        <v>1.0997213001306254E-4</v>
      </c>
      <c r="M16" s="31">
        <f t="shared" si="8"/>
        <v>1.227838409803847E-4</v>
      </c>
      <c r="N16" s="32">
        <f t="shared" si="9"/>
        <v>5.525272844117312E-3</v>
      </c>
    </row>
    <row r="17" spans="1:23" s="33" customFormat="1">
      <c r="A17" s="34">
        <v>-25.2</v>
      </c>
      <c r="B17" s="34">
        <f>(A17/1000)+1</f>
        <v>0.9748</v>
      </c>
      <c r="C17" s="34">
        <f t="shared" si="0"/>
        <v>1.1078514037947218E-2</v>
      </c>
      <c r="D17" s="34">
        <f t="shared" si="1"/>
        <v>1.0957125370712235E-2</v>
      </c>
      <c r="E17" s="34">
        <f t="shared" si="5"/>
        <v>0.98904287462928775</v>
      </c>
      <c r="F17" s="34">
        <f t="shared" si="12"/>
        <v>1.0289752309921804E-4</v>
      </c>
      <c r="G17" s="28">
        <f t="shared" si="6"/>
        <v>1.2273347328899359E-4</v>
      </c>
      <c r="H17" s="34">
        <f t="shared" si="10"/>
        <v>1.472801679467923E-2</v>
      </c>
      <c r="I17" s="35">
        <f t="shared" si="2"/>
        <v>1.051900553778702E-4</v>
      </c>
      <c r="J17" s="30">
        <f t="shared" si="7"/>
        <v>1.2273347328899359E-4</v>
      </c>
      <c r="K17" s="35">
        <f t="shared" si="11"/>
        <v>1.1168746069298416E-2</v>
      </c>
      <c r="L17" s="36">
        <f t="shared" si="3"/>
        <v>1.0992948913770728E-4</v>
      </c>
      <c r="M17" s="31">
        <f t="shared" si="8"/>
        <v>1.2273347328899359E-4</v>
      </c>
      <c r="N17" s="36">
        <f t="shared" si="9"/>
        <v>5.5230062980047116E-3</v>
      </c>
    </row>
    <row r="18" spans="1:23">
      <c r="A18" s="12">
        <v>-30</v>
      </c>
      <c r="B18" s="12">
        <f t="shared" si="4"/>
        <v>0.97</v>
      </c>
      <c r="C18" s="12">
        <f t="shared" si="0"/>
        <v>1.1023962471080019E-2</v>
      </c>
      <c r="D18" s="12">
        <f t="shared" si="1"/>
        <v>1.0903759831899489E-2</v>
      </c>
      <c r="E18" s="12">
        <f t="shared" si="5"/>
        <v>0.98909624016810049</v>
      </c>
      <c r="F18" s="28">
        <f t="shared" si="12"/>
        <v>1.0197466048441824E-4</v>
      </c>
      <c r="G18" s="28">
        <f t="shared" si="6"/>
        <v>1.2152774856378067E-4</v>
      </c>
      <c r="H18" s="28">
        <f t="shared" si="10"/>
        <v>1.4583329827653681E-2</v>
      </c>
      <c r="I18" s="29">
        <f t="shared" si="2"/>
        <v>1.0423538289568019E-4</v>
      </c>
      <c r="J18" s="30">
        <f t="shared" si="7"/>
        <v>1.2152774856378069E-4</v>
      </c>
      <c r="K18" s="30">
        <f t="shared" si="11"/>
        <v>1.1059025119304042E-2</v>
      </c>
      <c r="L18" s="31">
        <f t="shared" si="3"/>
        <v>1.0890829576415778E-4</v>
      </c>
      <c r="M18" s="31">
        <f t="shared" si="8"/>
        <v>1.2152774856378068E-4</v>
      </c>
      <c r="N18" s="32">
        <f t="shared" si="9"/>
        <v>5.4687486853701303E-3</v>
      </c>
    </row>
    <row r="19" spans="1:23">
      <c r="A19" s="111">
        <v>-3.92</v>
      </c>
      <c r="B19" s="111">
        <f t="shared" si="4"/>
        <v>0.99607999999999997</v>
      </c>
      <c r="C19" s="111">
        <f t="shared" si="0"/>
        <v>1.1320359317725138E-2</v>
      </c>
      <c r="D19" s="111">
        <f t="shared" si="1"/>
        <v>1.1193643254015256E-2</v>
      </c>
      <c r="E19" s="111">
        <f t="shared" si="5"/>
        <v>0.98880635674598472</v>
      </c>
      <c r="F19" s="28">
        <f t="shared" si="12"/>
        <v>1.0702874159368294E-4</v>
      </c>
      <c r="G19" s="28">
        <f t="shared" si="6"/>
        <v>1.2815053508240639E-4</v>
      </c>
      <c r="H19" s="28">
        <f t="shared" si="10"/>
        <v>1.5378064209888766E-2</v>
      </c>
      <c r="I19" s="29">
        <f t="shared" si="2"/>
        <v>1.0946566500851625E-4</v>
      </c>
      <c r="J19" s="30">
        <f t="shared" si="7"/>
        <v>1.2815053508240639E-4</v>
      </c>
      <c r="K19" s="30">
        <f t="shared" si="11"/>
        <v>1.1661698692498982E-2</v>
      </c>
      <c r="L19" s="31">
        <f t="shared" si="3"/>
        <v>1.1450723316267221E-4</v>
      </c>
      <c r="M19" s="31">
        <f t="shared" si="8"/>
        <v>1.2815053508240639E-4</v>
      </c>
      <c r="N19" s="32">
        <f t="shared" si="9"/>
        <v>5.766774078708287E-3</v>
      </c>
    </row>
    <row r="20" spans="1:23">
      <c r="A20" s="111">
        <v>-11.81</v>
      </c>
      <c r="B20" s="111">
        <f t="shared" si="4"/>
        <v>0.98819000000000001</v>
      </c>
      <c r="C20" s="111">
        <f t="shared" si="0"/>
        <v>1.1230690179687178E-2</v>
      </c>
      <c r="D20" s="111">
        <f t="shared" si="1"/>
        <v>1.1105962555083823E-2</v>
      </c>
      <c r="E20" s="111">
        <f t="shared" si="5"/>
        <v>0.98889403744491622</v>
      </c>
      <c r="F20" s="28">
        <f t="shared" si="12"/>
        <v>1.0548944953911647E-4</v>
      </c>
      <c r="G20" s="28">
        <f t="shared" si="6"/>
        <v>1.26128401912122E-4</v>
      </c>
      <c r="H20" s="28">
        <f t="shared" si="10"/>
        <v>1.5135408229454641E-2</v>
      </c>
      <c r="I20" s="29">
        <f t="shared" si="2"/>
        <v>1.0787219340480453E-4</v>
      </c>
      <c r="J20" s="30">
        <f t="shared" si="7"/>
        <v>1.2612840191212197E-4</v>
      </c>
      <c r="K20" s="30">
        <f t="shared" si="11"/>
        <v>1.14776845740031E-2</v>
      </c>
      <c r="L20" s="31">
        <f t="shared" si="3"/>
        <v>1.12800357545329E-4</v>
      </c>
      <c r="M20" s="31">
        <f t="shared" si="8"/>
        <v>1.2612840191212197E-4</v>
      </c>
      <c r="N20" s="32">
        <f t="shared" si="9"/>
        <v>5.6757780860454887E-3</v>
      </c>
    </row>
    <row r="21" spans="1:23">
      <c r="A21" s="111">
        <v>-28</v>
      </c>
      <c r="B21" s="111">
        <f t="shared" ref="B21:B28" si="13">(A21/1000)+1</f>
        <v>0.97199999999999998</v>
      </c>
      <c r="C21" s="111">
        <f t="shared" ref="C21:C28" si="14">B21*$B$4</f>
        <v>1.1046692290608019E-2</v>
      </c>
      <c r="D21" s="111">
        <f t="shared" ref="D21:D28" si="15">C21/(1+C21)</f>
        <v>1.0925996172917439E-2</v>
      </c>
      <c r="E21" s="111">
        <f t="shared" ref="E21:E28" si="16">1-D21</f>
        <v>0.98907400382708255</v>
      </c>
      <c r="F21" s="28">
        <f t="shared" ref="F21:F28" si="17">E21^14*D21^2</f>
        <v>1.0235878221100323E-4</v>
      </c>
      <c r="G21" s="28">
        <f t="shared" ref="G21:G28" si="18">F21/E21^16</f>
        <v>1.2202941056337866E-4</v>
      </c>
      <c r="H21" s="28">
        <f t="shared" ref="H21:H28" si="19">G21*((16*15) /2)</f>
        <v>1.4643529267605438E-2</v>
      </c>
      <c r="I21" s="29">
        <f t="shared" ref="I21:I28" si="20">E21^12*D21^2</f>
        <v>1.0463272493351506E-4</v>
      </c>
      <c r="J21" s="30">
        <f t="shared" ref="J21:J28" si="21">I21/E21^14</f>
        <v>1.2202941056337866E-4</v>
      </c>
      <c r="K21" s="30">
        <f t="shared" ref="K21:K28" si="22">J21*((14*13)/2)</f>
        <v>1.1104676361267458E-2</v>
      </c>
      <c r="L21" s="31">
        <f t="shared" ref="L21:L28" si="23">E21^8*D21^2</f>
        <v>1.0933328236217667E-4</v>
      </c>
      <c r="M21" s="31">
        <f t="shared" ref="M21:M28" si="24">L21/E21^10</f>
        <v>1.2202941056337867E-4</v>
      </c>
      <c r="N21" s="32">
        <f t="shared" ref="N21:N28" si="25">M21*((10*9)/2)</f>
        <v>5.4913234753520401E-3</v>
      </c>
    </row>
    <row r="22" spans="1:23">
      <c r="A22" s="111">
        <v>-30.3</v>
      </c>
      <c r="B22" s="111">
        <f t="shared" si="13"/>
        <v>0.96970000000000001</v>
      </c>
      <c r="C22" s="111">
        <f t="shared" si="14"/>
        <v>1.1020552998150818E-2</v>
      </c>
      <c r="D22" s="111">
        <f t="shared" si="15"/>
        <v>1.0900424294510831E-2</v>
      </c>
      <c r="E22" s="111">
        <f t="shared" si="16"/>
        <v>0.98909957570548912</v>
      </c>
      <c r="F22" s="28">
        <f t="shared" si="17"/>
        <v>1.0191709210497697E-4</v>
      </c>
      <c r="G22" s="28">
        <f t="shared" si="18"/>
        <v>1.2145258838505101E-4</v>
      </c>
      <c r="H22" s="28">
        <f t="shared" si="19"/>
        <v>1.4574310606206122E-2</v>
      </c>
      <c r="I22" s="29">
        <f t="shared" si="20"/>
        <v>1.0417583562953445E-4</v>
      </c>
      <c r="J22" s="30">
        <f t="shared" si="21"/>
        <v>1.2145258838505101E-4</v>
      </c>
      <c r="K22" s="30">
        <f t="shared" si="22"/>
        <v>1.1052185543039642E-2</v>
      </c>
      <c r="L22" s="31">
        <f t="shared" si="23"/>
        <v>1.088446107331142E-4</v>
      </c>
      <c r="M22" s="31">
        <f t="shared" si="24"/>
        <v>1.2145258838505101E-4</v>
      </c>
      <c r="N22" s="32">
        <f t="shared" si="25"/>
        <v>5.4653664773272959E-3</v>
      </c>
    </row>
    <row r="23" spans="1:23">
      <c r="A23" s="111">
        <v>-31.8</v>
      </c>
      <c r="B23" s="111">
        <f t="shared" si="13"/>
        <v>0.96819999999999995</v>
      </c>
      <c r="C23" s="111">
        <f t="shared" si="14"/>
        <v>1.1003505633504818E-2</v>
      </c>
      <c r="D23" s="111">
        <f t="shared" si="15"/>
        <v>1.0883746270108048E-2</v>
      </c>
      <c r="E23" s="111">
        <f t="shared" si="16"/>
        <v>0.98911625372989198</v>
      </c>
      <c r="F23" s="28">
        <f t="shared" si="17"/>
        <v>1.0162944555274282E-4</v>
      </c>
      <c r="G23" s="28">
        <f t="shared" si="18"/>
        <v>1.2107713622657229E-4</v>
      </c>
      <c r="H23" s="28">
        <f t="shared" si="19"/>
        <v>1.4529256347188674E-2</v>
      </c>
      <c r="I23" s="29">
        <f t="shared" si="20"/>
        <v>1.038783109083058E-4</v>
      </c>
      <c r="J23" s="30">
        <f t="shared" si="21"/>
        <v>1.2107713622657231E-4</v>
      </c>
      <c r="K23" s="30">
        <f t="shared" si="22"/>
        <v>1.1018019396618079E-2</v>
      </c>
      <c r="L23" s="31">
        <f t="shared" si="23"/>
        <v>1.0852643205570195E-4</v>
      </c>
      <c r="M23" s="31">
        <f t="shared" si="24"/>
        <v>1.2107713622657229E-4</v>
      </c>
      <c r="N23" s="32">
        <f t="shared" si="25"/>
        <v>5.4484711301957534E-3</v>
      </c>
    </row>
    <row r="24" spans="1:23">
      <c r="A24" s="111">
        <v>-29.3</v>
      </c>
      <c r="B24" s="111">
        <f t="shared" si="13"/>
        <v>0.97070000000000001</v>
      </c>
      <c r="C24" s="111">
        <f t="shared" si="14"/>
        <v>1.1031917907914818E-2</v>
      </c>
      <c r="D24" s="111">
        <f t="shared" si="15"/>
        <v>1.0911542664985983E-2</v>
      </c>
      <c r="E24" s="111">
        <f t="shared" si="16"/>
        <v>0.98908845733501405</v>
      </c>
      <c r="F24" s="28">
        <f t="shared" si="17"/>
        <v>1.0210903732010739E-4</v>
      </c>
      <c r="G24" s="28">
        <f t="shared" si="18"/>
        <v>1.2170321272697163E-4</v>
      </c>
      <c r="H24" s="28">
        <f t="shared" si="19"/>
        <v>1.4604385527236596E-2</v>
      </c>
      <c r="I24" s="29">
        <f t="shared" si="20"/>
        <v>1.04374381352741E-4</v>
      </c>
      <c r="J24" s="30">
        <f t="shared" si="21"/>
        <v>1.2170321272697167E-4</v>
      </c>
      <c r="K24" s="30">
        <f t="shared" si="22"/>
        <v>1.1074992358154422E-2</v>
      </c>
      <c r="L24" s="31">
        <f t="shared" si="23"/>
        <v>1.0905695805147928E-4</v>
      </c>
      <c r="M24" s="31">
        <f t="shared" si="24"/>
        <v>1.2170321272697164E-4</v>
      </c>
      <c r="N24" s="32">
        <f t="shared" si="25"/>
        <v>5.4766445727137238E-3</v>
      </c>
    </row>
    <row r="25" spans="1:23">
      <c r="A25" s="111">
        <v>-31.7</v>
      </c>
      <c r="B25" s="111">
        <f t="shared" si="13"/>
        <v>0.96830000000000005</v>
      </c>
      <c r="C25" s="111">
        <f t="shared" si="14"/>
        <v>1.1004642124481219E-2</v>
      </c>
      <c r="D25" s="111">
        <f t="shared" si="15"/>
        <v>1.0884858155899802E-2</v>
      </c>
      <c r="E25" s="111">
        <f t="shared" si="16"/>
        <v>0.98911514184410021</v>
      </c>
      <c r="F25" s="28">
        <f t="shared" si="17"/>
        <v>1.0164861185675096E-4</v>
      </c>
      <c r="G25" s="28">
        <f t="shared" si="18"/>
        <v>1.2110214828790655E-4</v>
      </c>
      <c r="H25" s="28">
        <f t="shared" si="19"/>
        <v>1.4532257794548786E-2</v>
      </c>
      <c r="I25" s="29">
        <f t="shared" si="20"/>
        <v>1.0389813491388498E-4</v>
      </c>
      <c r="J25" s="30">
        <f t="shared" si="21"/>
        <v>1.2110214828790655E-4</v>
      </c>
      <c r="K25" s="30">
        <f t="shared" si="22"/>
        <v>1.1020295494199497E-2</v>
      </c>
      <c r="L25" s="31">
        <f t="shared" si="23"/>
        <v>1.0854763118446474E-4</v>
      </c>
      <c r="M25" s="31">
        <f t="shared" si="24"/>
        <v>1.2110214828790654E-4</v>
      </c>
      <c r="N25" s="32">
        <f t="shared" si="25"/>
        <v>5.4495966729557945E-3</v>
      </c>
      <c r="O25" s="12"/>
    </row>
    <row r="26" spans="1:23">
      <c r="A26" s="111">
        <v>-21.3</v>
      </c>
      <c r="B26" s="111">
        <f t="shared" si="13"/>
        <v>0.97870000000000001</v>
      </c>
      <c r="C26" s="111">
        <f t="shared" si="14"/>
        <v>1.1122837186026819E-2</v>
      </c>
      <c r="D26" s="111">
        <f t="shared" si="15"/>
        <v>1.1000480631000164E-2</v>
      </c>
      <c r="E26" s="111">
        <f t="shared" si="16"/>
        <v>0.98899951936899988</v>
      </c>
      <c r="F26" s="28">
        <f t="shared" si="17"/>
        <v>1.0364979534871021E-4</v>
      </c>
      <c r="G26" s="28">
        <f t="shared" si="18"/>
        <v>1.2371750706686101E-4</v>
      </c>
      <c r="H26" s="28">
        <f t="shared" si="19"/>
        <v>1.4846100848023323E-2</v>
      </c>
      <c r="I26" s="29">
        <f t="shared" si="20"/>
        <v>1.0596837823905614E-4</v>
      </c>
      <c r="J26" s="30">
        <f t="shared" si="21"/>
        <v>1.2371750706686101E-4</v>
      </c>
      <c r="K26" s="30">
        <f t="shared" si="22"/>
        <v>1.1258293143084352E-2</v>
      </c>
      <c r="L26" s="31">
        <f t="shared" si="23"/>
        <v>1.1076230008256392E-4</v>
      </c>
      <c r="M26" s="31">
        <f t="shared" si="24"/>
        <v>1.2371750706686101E-4</v>
      </c>
      <c r="N26" s="32">
        <f t="shared" si="25"/>
        <v>5.5672878180087456E-3</v>
      </c>
      <c r="O26" s="12"/>
    </row>
    <row r="27" spans="1:23">
      <c r="A27" s="111">
        <v>-27.3</v>
      </c>
      <c r="B27" s="111">
        <f t="shared" si="13"/>
        <v>0.97270000000000001</v>
      </c>
      <c r="C27" s="111">
        <f t="shared" si="14"/>
        <v>1.1054647727442819E-2</v>
      </c>
      <c r="D27" s="111">
        <f t="shared" si="15"/>
        <v>1.0933778656070129E-2</v>
      </c>
      <c r="E27" s="111">
        <f t="shared" si="16"/>
        <v>0.98906622134392985</v>
      </c>
      <c r="F27" s="28">
        <f t="shared" si="17"/>
        <v>1.024933613512254E-4</v>
      </c>
      <c r="G27" s="28">
        <f t="shared" si="18"/>
        <v>1.2220523637785665E-4</v>
      </c>
      <c r="H27" s="28">
        <f t="shared" si="19"/>
        <v>1.4664628365342797E-2</v>
      </c>
      <c r="I27" s="29">
        <f t="shared" si="20"/>
        <v>1.0477194258495509E-4</v>
      </c>
      <c r="J27" s="30">
        <f t="shared" si="21"/>
        <v>1.2220523637785665E-4</v>
      </c>
      <c r="K27" s="30">
        <f t="shared" si="22"/>
        <v>1.1120676510384954E-2</v>
      </c>
      <c r="L27" s="31">
        <f t="shared" si="23"/>
        <v>1.0948220005836264E-4</v>
      </c>
      <c r="M27" s="31">
        <f t="shared" si="24"/>
        <v>1.2220523637785662E-4</v>
      </c>
      <c r="N27" s="32">
        <f t="shared" si="25"/>
        <v>5.4992356370035479E-3</v>
      </c>
      <c r="O27" s="12"/>
    </row>
    <row r="28" spans="1:23">
      <c r="A28" s="111">
        <v>-33.1</v>
      </c>
      <c r="B28" s="111">
        <f t="shared" si="13"/>
        <v>0.96689999999999998</v>
      </c>
      <c r="C28" s="111">
        <f t="shared" si="14"/>
        <v>1.0988731250811618E-2</v>
      </c>
      <c r="D28" s="111">
        <f t="shared" si="15"/>
        <v>1.0869291527331052E-2</v>
      </c>
      <c r="E28" s="111">
        <f t="shared" si="16"/>
        <v>0.98913070847266893</v>
      </c>
      <c r="F28" s="28">
        <f t="shared" si="17"/>
        <v>1.0138041540871553E-4</v>
      </c>
      <c r="G28" s="28">
        <f t="shared" si="18"/>
        <v>1.2075221450256384E-4</v>
      </c>
      <c r="H28" s="28">
        <f t="shared" si="19"/>
        <v>1.4490265740307661E-2</v>
      </c>
      <c r="I28" s="29">
        <f t="shared" si="20"/>
        <v>1.0362074159642736E-4</v>
      </c>
      <c r="J28" s="30">
        <f t="shared" si="21"/>
        <v>1.2075221450256385E-4</v>
      </c>
      <c r="K28" s="30">
        <f t="shared" si="22"/>
        <v>1.098845151973331E-2</v>
      </c>
      <c r="L28" s="31">
        <f t="shared" si="23"/>
        <v>1.0825100962017902E-4</v>
      </c>
      <c r="M28" s="31">
        <f t="shared" si="24"/>
        <v>1.2075221450256384E-4</v>
      </c>
      <c r="N28" s="32">
        <f t="shared" si="25"/>
        <v>5.4338496526153725E-3</v>
      </c>
      <c r="O28" s="12"/>
    </row>
    <row r="29" spans="1:23">
      <c r="A29" s="12"/>
      <c r="B29" s="12"/>
      <c r="C29" s="12"/>
      <c r="D29" s="12"/>
      <c r="E29" s="12"/>
      <c r="F29" s="12"/>
      <c r="G29" s="12"/>
      <c r="H29" s="12"/>
      <c r="I29" s="12"/>
      <c r="J29" s="12"/>
      <c r="L29" s="12"/>
      <c r="M29" s="12"/>
      <c r="N29" s="12"/>
      <c r="O29" s="12"/>
    </row>
    <row r="30" spans="1:23">
      <c r="A30" s="12"/>
      <c r="B30" s="12"/>
      <c r="C30" s="12"/>
      <c r="D30" s="12"/>
      <c r="E30" s="12"/>
      <c r="F30" s="121" t="s">
        <v>271</v>
      </c>
      <c r="G30" s="121"/>
      <c r="H30" s="121"/>
      <c r="I30" s="121"/>
      <c r="J30" s="88"/>
      <c r="K30" s="88"/>
      <c r="L30" s="122" t="s">
        <v>272</v>
      </c>
      <c r="M30" s="122"/>
      <c r="N30" s="122"/>
      <c r="O30" s="122"/>
      <c r="P30" s="93"/>
      <c r="Q30" s="93"/>
      <c r="R30" s="123" t="s">
        <v>273</v>
      </c>
      <c r="S30" s="123"/>
      <c r="T30" s="123"/>
      <c r="U30" s="123"/>
      <c r="V30" s="102"/>
      <c r="W30" s="102"/>
    </row>
    <row r="31" spans="1:23">
      <c r="A31" s="12"/>
      <c r="B31" s="12"/>
      <c r="C31" s="12"/>
      <c r="D31" s="12"/>
      <c r="E31" s="12"/>
      <c r="F31" s="121" t="s">
        <v>274</v>
      </c>
      <c r="G31" s="121"/>
      <c r="H31" s="121"/>
      <c r="I31" s="121"/>
      <c r="J31" s="88"/>
      <c r="K31" s="88"/>
      <c r="L31" s="124" t="s">
        <v>274</v>
      </c>
      <c r="M31" s="124"/>
      <c r="N31" s="124"/>
      <c r="O31" s="124"/>
      <c r="P31" s="94"/>
      <c r="Q31" s="94"/>
      <c r="R31" s="123" t="s">
        <v>274</v>
      </c>
      <c r="S31" s="123"/>
      <c r="T31" s="123"/>
      <c r="U31" s="123"/>
      <c r="V31" s="102"/>
      <c r="W31" s="102"/>
    </row>
    <row r="32" spans="1:23" ht="51">
      <c r="A32" s="37"/>
      <c r="B32" s="18" t="s">
        <v>108</v>
      </c>
      <c r="C32" s="26" t="s">
        <v>109</v>
      </c>
      <c r="D32" s="26" t="s">
        <v>279</v>
      </c>
      <c r="E32" s="26" t="s">
        <v>280</v>
      </c>
      <c r="F32" s="88" t="s">
        <v>110</v>
      </c>
      <c r="G32" s="89" t="s">
        <v>111</v>
      </c>
      <c r="H32" s="90" t="s">
        <v>281</v>
      </c>
      <c r="I32" s="88" t="s">
        <v>113</v>
      </c>
      <c r="J32" s="112" t="s">
        <v>284</v>
      </c>
      <c r="K32" s="88"/>
      <c r="L32" s="94" t="s">
        <v>110</v>
      </c>
      <c r="M32" s="93" t="s">
        <v>111</v>
      </c>
      <c r="N32" s="95" t="s">
        <v>112</v>
      </c>
      <c r="O32" s="94" t="s">
        <v>113</v>
      </c>
      <c r="P32" s="114" t="s">
        <v>284</v>
      </c>
      <c r="Q32" s="94"/>
      <c r="R32" s="98" t="s">
        <v>110</v>
      </c>
      <c r="S32" s="99" t="s">
        <v>111</v>
      </c>
      <c r="T32" s="100" t="s">
        <v>112</v>
      </c>
      <c r="U32" s="113" t="s">
        <v>113</v>
      </c>
      <c r="V32" s="113" t="s">
        <v>284</v>
      </c>
      <c r="W32" s="102"/>
    </row>
    <row r="33" spans="1:23" ht="17">
      <c r="A33" s="27" t="s">
        <v>114</v>
      </c>
      <c r="B33" s="33">
        <v>-24.4</v>
      </c>
      <c r="C33" s="33">
        <v>0.56000000000000005</v>
      </c>
      <c r="D33" s="11">
        <f>'[1]collated data - 4262022 - s (2)'!S109</f>
        <v>9.5019803987612048E-3</v>
      </c>
      <c r="E33" s="11">
        <f>'[1]collated data - 4262022 - s (2)'!T109</f>
        <v>4.5585766615958969E-3</v>
      </c>
      <c r="F33" s="91">
        <f>'gingko ash'!D43</f>
        <v>9.0473456200330024E-3</v>
      </c>
      <c r="G33" s="91">
        <f>'gingko ash'!E43</f>
        <v>4.670315317668078E-3</v>
      </c>
      <c r="H33" s="89">
        <f>F33/$K$15</f>
        <v>0.80806848590019942</v>
      </c>
      <c r="I33" s="91">
        <f>F33/H33</f>
        <v>1.1196260933198175E-2</v>
      </c>
      <c r="J33" s="91">
        <f>F33/D33</f>
        <v>0.95215368169066372</v>
      </c>
      <c r="K33" s="91"/>
      <c r="L33" s="96">
        <f>'cycads ash'!D42</f>
        <v>9.0564420720687221E-3</v>
      </c>
      <c r="M33" s="97">
        <f>'cycads ash'!E42</f>
        <v>5.4205939628872843E-3</v>
      </c>
      <c r="N33" s="93">
        <f>L33/$K$15</f>
        <v>0.80888094035173397</v>
      </c>
      <c r="O33" s="97">
        <f>L33/N33</f>
        <v>1.1196260933198175E-2</v>
      </c>
      <c r="P33" s="97">
        <f>L33/D33</f>
        <v>0.95311100339140165</v>
      </c>
      <c r="Q33" s="97"/>
      <c r="R33" s="101">
        <f>'marri ash'!D43</f>
        <v>8.9442669647833116E-3</v>
      </c>
      <c r="S33" s="101">
        <f>'marri ash'!E43</f>
        <v>5.5820653642759911E-3</v>
      </c>
      <c r="T33" s="99">
        <f>R33/$K$15</f>
        <v>0.79886196098400608</v>
      </c>
      <c r="U33" s="102">
        <f>R33/T33</f>
        <v>1.1196260933198175E-2</v>
      </c>
      <c r="V33" s="102">
        <f>R33/D33</f>
        <v>0.94130555836017049</v>
      </c>
      <c r="W33" s="102"/>
    </row>
    <row r="34" spans="1:23" ht="17">
      <c r="A34" s="27" t="s">
        <v>115</v>
      </c>
      <c r="B34" s="33">
        <v>-24.1</v>
      </c>
      <c r="C34" s="33">
        <v>0.46</v>
      </c>
      <c r="D34" s="12">
        <f>'[1]collated data - 4262022 - s (2)'!AD109</f>
        <v>9.5016990107643518E-3</v>
      </c>
      <c r="E34" s="11">
        <f>'[1]collated data - 4262022 - s (2)'!AE109</f>
        <v>4.3308090064732218E-3</v>
      </c>
      <c r="F34" s="92">
        <f>'gingko ash'!R43</f>
        <v>9.1757962203216116E-3</v>
      </c>
      <c r="G34" s="91">
        <f>'gingko ash'!S43</f>
        <v>4.0474858889137681E-3</v>
      </c>
      <c r="H34" s="89">
        <f>F34/$K$15</f>
        <v>0.8195411195816581</v>
      </c>
      <c r="I34" s="91">
        <f t="shared" ref="I34:I36" si="26">F34/H34</f>
        <v>1.1196260933198175E-2</v>
      </c>
      <c r="J34" s="91">
        <f>F34/D34</f>
        <v>0.96570057733111425</v>
      </c>
      <c r="K34" s="91"/>
      <c r="L34" s="96" t="s">
        <v>270</v>
      </c>
      <c r="M34" s="97" t="s">
        <v>270</v>
      </c>
      <c r="N34" s="93" t="s">
        <v>270</v>
      </c>
      <c r="O34" s="97"/>
      <c r="P34" s="97"/>
      <c r="Q34" s="97"/>
      <c r="R34" s="101" t="s">
        <v>270</v>
      </c>
      <c r="S34" s="101" t="s">
        <v>270</v>
      </c>
      <c r="T34" s="102"/>
      <c r="U34" s="102"/>
      <c r="V34" s="102"/>
      <c r="W34" s="102"/>
    </row>
    <row r="35" spans="1:23" ht="17">
      <c r="A35" s="39" t="s">
        <v>116</v>
      </c>
      <c r="B35" s="33">
        <v>-24.2</v>
      </c>
      <c r="C35" s="33">
        <v>0.42</v>
      </c>
      <c r="D35" s="12">
        <f>'[1]collated data - 4262022 - s (2)'!AO109</f>
        <v>1.2243663544170075E-2</v>
      </c>
      <c r="E35" s="11">
        <f>'[1]collated data - 4262022 - s (2)'!AP109</f>
        <v>2.5481018425751612E-3</v>
      </c>
      <c r="F35" s="92">
        <f>'gingko ash'!AG43</f>
        <v>1.053450291921898E-2</v>
      </c>
      <c r="G35" s="91">
        <f>'gingko ash'!AH43</f>
        <v>4.3943408447307637E-3</v>
      </c>
      <c r="H35" s="89">
        <f>F35/$H$15</f>
        <v>0.71351183769340076</v>
      </c>
      <c r="I35" s="91">
        <f t="shared" si="26"/>
        <v>1.4764300131689901E-2</v>
      </c>
      <c r="J35" s="91">
        <f t="shared" ref="J35:J36" si="27">F35/D35</f>
        <v>0.86040447625948302</v>
      </c>
      <c r="K35" s="91"/>
      <c r="L35" s="96">
        <f>'cycads ash'!S42</f>
        <v>1.2090431735016421E-2</v>
      </c>
      <c r="M35" s="97">
        <f>'cycads ash'!T42</f>
        <v>4.7047471984000711E-3</v>
      </c>
      <c r="N35" s="93">
        <f>L35/$H$15</f>
        <v>0.81889636672080901</v>
      </c>
      <c r="O35" s="97">
        <f t="shared" ref="O35:O36" si="28">L35/N35</f>
        <v>1.47643001316899E-2</v>
      </c>
      <c r="P35" s="97">
        <f>L35/D35</f>
        <v>0.98748480725553611</v>
      </c>
      <c r="Q35" s="97"/>
      <c r="R35" s="101">
        <f>'marri ash'!U43</f>
        <v>1.192610786149258E-2</v>
      </c>
      <c r="S35" s="101">
        <f>'marri ash'!V43</f>
        <v>5.4745038127714312E-3</v>
      </c>
      <c r="T35" s="99">
        <f>R35/$H$15</f>
        <v>0.80776655548301524</v>
      </c>
      <c r="U35" s="102">
        <f t="shared" ref="U35:U36" si="29">R35/T35</f>
        <v>1.4764300131689901E-2</v>
      </c>
      <c r="V35" s="102">
        <f>R35/D35</f>
        <v>0.97406367125886095</v>
      </c>
      <c r="W35" s="102"/>
    </row>
    <row r="36" spans="1:23" ht="17">
      <c r="A36" s="27" t="s">
        <v>276</v>
      </c>
      <c r="B36" s="33">
        <v>-25.2</v>
      </c>
      <c r="C36" s="33">
        <v>0.49</v>
      </c>
      <c r="D36" s="12">
        <f>'[1]collated data - 4262022 - s (2)'!AZ109</f>
        <v>1.2244172031591444E-2</v>
      </c>
      <c r="E36" s="11">
        <f>'[1]collated data - 4262022 - s (2)'!BA109</f>
        <v>2.3233953224474041E-3</v>
      </c>
      <c r="F36" s="92">
        <f>'gingko ash'!AV43</f>
        <v>1.1798140540446809E-2</v>
      </c>
      <c r="G36" s="91">
        <f>'gingko ash'!AW43</f>
        <v>5.0776887323153441E-3</v>
      </c>
      <c r="H36" s="89">
        <f>F36/$H$15</f>
        <v>0.79909920790105271</v>
      </c>
      <c r="I36" s="91">
        <f t="shared" si="26"/>
        <v>1.4764300131689903E-2</v>
      </c>
      <c r="J36" s="91">
        <f t="shared" si="27"/>
        <v>0.96357193528530805</v>
      </c>
      <c r="K36" s="91"/>
      <c r="L36" s="96">
        <f>'cycads ash'!AH42</f>
        <v>1.2088260387041246E-2</v>
      </c>
      <c r="M36" s="97">
        <f>'cycads ash'!AI42</f>
        <v>4.6163861269762282E-3</v>
      </c>
      <c r="N36" s="93">
        <f>L36/$H$15</f>
        <v>0.8187492992705534</v>
      </c>
      <c r="O36" s="97">
        <f t="shared" si="28"/>
        <v>1.4764300131689901E-2</v>
      </c>
      <c r="P36" s="97">
        <f>L36/D36</f>
        <v>0.98726646079882519</v>
      </c>
      <c r="Q36" s="97"/>
      <c r="R36" s="101">
        <f>'marri ash'!AJ43</f>
        <v>1.2002765123692064E-2</v>
      </c>
      <c r="S36" s="101">
        <f>'marri ash'!AK43</f>
        <v>5.7300658739400075E-3</v>
      </c>
      <c r="T36" s="99">
        <f>R36/$H$15</f>
        <v>0.81295862429194898</v>
      </c>
      <c r="U36" s="102">
        <f t="shared" si="29"/>
        <v>1.4764300131689901E-2</v>
      </c>
      <c r="V36" s="102">
        <f>R36/D36</f>
        <v>0.98028393367256506</v>
      </c>
      <c r="W36" s="102"/>
    </row>
    <row r="37" spans="1:23">
      <c r="A37" s="18"/>
      <c r="B37" s="40"/>
      <c r="N37" s="12"/>
      <c r="O37" s="12"/>
      <c r="P37" s="12"/>
      <c r="Q37" s="12"/>
      <c r="R37" s="12"/>
      <c r="S37" s="12"/>
    </row>
    <row r="38" spans="1:23">
      <c r="B38" s="12"/>
      <c r="C38" s="12"/>
      <c r="D38" s="12"/>
      <c r="E38" s="12"/>
      <c r="F38" s="121" t="s">
        <v>275</v>
      </c>
      <c r="G38" s="121"/>
      <c r="H38" s="121"/>
      <c r="I38" s="121"/>
      <c r="J38" s="88"/>
      <c r="K38" s="88"/>
      <c r="L38" s="124" t="s">
        <v>275</v>
      </c>
      <c r="M38" s="124"/>
      <c r="N38" s="124"/>
      <c r="O38" s="124"/>
      <c r="P38" s="94"/>
      <c r="Q38" s="94"/>
      <c r="R38" s="123" t="s">
        <v>275</v>
      </c>
      <c r="S38" s="123"/>
      <c r="T38" s="123"/>
      <c r="U38" s="123"/>
      <c r="V38" s="102"/>
      <c r="W38" s="102"/>
    </row>
    <row r="39" spans="1:23" ht="68">
      <c r="F39" s="88" t="s">
        <v>267</v>
      </c>
      <c r="G39" s="89" t="s">
        <v>277</v>
      </c>
      <c r="H39" s="90" t="s">
        <v>278</v>
      </c>
      <c r="I39" s="88" t="s">
        <v>282</v>
      </c>
      <c r="J39" s="88" t="s">
        <v>283</v>
      </c>
      <c r="K39" s="90" t="s">
        <v>285</v>
      </c>
      <c r="L39" s="94" t="s">
        <v>267</v>
      </c>
      <c r="M39" s="93" t="s">
        <v>277</v>
      </c>
      <c r="N39" s="95" t="s">
        <v>278</v>
      </c>
      <c r="O39" s="94" t="s">
        <v>282</v>
      </c>
      <c r="P39" s="94" t="s">
        <v>283</v>
      </c>
      <c r="Q39" s="95" t="s">
        <v>285</v>
      </c>
      <c r="R39" s="98" t="s">
        <v>267</v>
      </c>
      <c r="S39" s="99" t="s">
        <v>277</v>
      </c>
      <c r="T39" s="100" t="s">
        <v>278</v>
      </c>
      <c r="U39" s="113" t="s">
        <v>282</v>
      </c>
      <c r="V39" s="113" t="s">
        <v>283</v>
      </c>
      <c r="W39" s="100" t="s">
        <v>285</v>
      </c>
    </row>
    <row r="40" spans="1:23" s="27" customFormat="1" ht="16" customHeight="1">
      <c r="A40" s="118" t="s">
        <v>114</v>
      </c>
      <c r="B40" s="118"/>
      <c r="C40" s="118"/>
      <c r="D40" s="118"/>
      <c r="E40" s="118"/>
      <c r="F40" s="115">
        <f>'gingko ash'!D17</f>
        <v>-28.113838899445188</v>
      </c>
      <c r="G40" s="106">
        <f>'gingko ash'!D41</f>
        <v>8.9418956522404457E-3</v>
      </c>
      <c r="H40" s="106">
        <f>G40/H33</f>
        <v>1.1065764608155769E-2</v>
      </c>
      <c r="I40" s="106">
        <f>'gingko ash'!F45</f>
        <v>-4.0419027975449051</v>
      </c>
      <c r="J40" s="106">
        <f>1000*((H40/K21)-1)</f>
        <v>-3.504087093200714</v>
      </c>
      <c r="K40" s="115">
        <f>G40/J33</f>
        <v>9.3912315041023951E-3</v>
      </c>
      <c r="L40" s="116">
        <f>'cycads ash'!D16</f>
        <v>-31.784288811670613</v>
      </c>
      <c r="M40" s="97">
        <f>'cycads ash'!D40</f>
        <v>8.879469797475904E-3</v>
      </c>
      <c r="N40" s="108">
        <f>M40/N33</f>
        <v>1.0977474377891452E-2</v>
      </c>
      <c r="O40" s="108">
        <f>'cycads ash'!F44</f>
        <v>-4.4030941058815785</v>
      </c>
      <c r="P40" s="108">
        <f>1000*((N40/K23)-1)</f>
        <v>-3.67988267828534</v>
      </c>
      <c r="Q40" s="114">
        <f>M40/P33</f>
        <v>9.3163018429968623E-3</v>
      </c>
      <c r="R40" s="113">
        <f>'marri ash'!D16</f>
        <v>-21.311877122206504</v>
      </c>
      <c r="S40" s="109">
        <f>'marri ash'!D41</f>
        <v>8.8836277848441669E-3</v>
      </c>
      <c r="T40" s="110">
        <f>S40/T33</f>
        <v>1.1120353976926966E-2</v>
      </c>
      <c r="U40" s="110">
        <f>'marri ash'!F45</f>
        <v>-13.110385377242185</v>
      </c>
      <c r="V40" s="109">
        <f>1000*((T40/K26)-1)</f>
        <v>-12.252227260765469</v>
      </c>
      <c r="W40" s="117">
        <f>S40/V33</f>
        <v>9.43756010568997E-3</v>
      </c>
    </row>
    <row r="41" spans="1:23" s="27" customFormat="1" ht="17" customHeight="1">
      <c r="A41" s="118" t="s">
        <v>115</v>
      </c>
      <c r="B41" s="118"/>
      <c r="C41" s="118"/>
      <c r="D41" s="118"/>
      <c r="E41" s="118"/>
      <c r="F41" s="115">
        <f>'gingko ash'!R17</f>
        <v>-24.083980533661897</v>
      </c>
      <c r="G41" s="106">
        <f>'gingko ash'!R41</f>
        <v>9.1522332865316466E-3</v>
      </c>
      <c r="H41" s="106">
        <f>G41/H34</f>
        <v>1.1167509558524023E-2</v>
      </c>
      <c r="I41" s="106">
        <f>'gingko ash'!T45</f>
        <v>-2.6007744595186733</v>
      </c>
      <c r="J41" s="106">
        <f>1000*((H41/K15)-1)</f>
        <v>-2.5679443204918995</v>
      </c>
      <c r="K41" s="115">
        <f t="shared" ref="K41:K43" si="30">G41/J34</f>
        <v>9.4772991767546368E-3</v>
      </c>
      <c r="L41" s="94" t="s">
        <v>270</v>
      </c>
      <c r="M41" s="97" t="s">
        <v>270</v>
      </c>
      <c r="N41" s="97" t="s">
        <v>270</v>
      </c>
      <c r="O41" s="97" t="s">
        <v>270</v>
      </c>
      <c r="P41" s="97"/>
      <c r="Q41" s="93"/>
      <c r="R41" s="98" t="s">
        <v>270</v>
      </c>
      <c r="S41" s="101" t="s">
        <v>270</v>
      </c>
      <c r="T41" s="102" t="s">
        <v>270</v>
      </c>
      <c r="U41" s="102" t="s">
        <v>270</v>
      </c>
      <c r="V41" s="110"/>
      <c r="W41" s="117"/>
    </row>
    <row r="42" spans="1:23" ht="17" customHeight="1">
      <c r="A42" s="120" t="s">
        <v>116</v>
      </c>
      <c r="B42" s="120"/>
      <c r="C42" s="120"/>
      <c r="D42" s="120"/>
      <c r="E42" s="120"/>
      <c r="F42" s="89">
        <f>'gingko ash'!AG17</f>
        <v>-24.183982175168815</v>
      </c>
      <c r="G42" s="91">
        <f>'gingko ash'!AG41</f>
        <v>1.0435580967349057E-2</v>
      </c>
      <c r="H42" s="106">
        <f>G42/H35</f>
        <v>1.4625659191702538E-2</v>
      </c>
      <c r="I42" s="91">
        <f>'gingko ash'!AI45</f>
        <v>-9.4231120183410066</v>
      </c>
      <c r="J42" s="106">
        <f>1000*((H42/H15)-1)</f>
        <v>-9.3902818793141218</v>
      </c>
      <c r="K42" s="115">
        <f t="shared" si="30"/>
        <v>1.2128692092254837E-2</v>
      </c>
      <c r="L42" s="93">
        <f>'cycads ash'!S16</f>
        <v>-29.319628255334074</v>
      </c>
      <c r="M42" s="108">
        <f>'cycads ash'!S40</f>
        <v>1.1994022713677253E-2</v>
      </c>
      <c r="N42" s="97">
        <f>M42/N35</f>
        <v>1.4646569701739125E-2</v>
      </c>
      <c r="O42" s="96">
        <f>'cycads ash'!U44</f>
        <v>2.5191984766801401</v>
      </c>
      <c r="P42" s="108">
        <f>1000*((N42/H24)-1)</f>
        <v>2.8884593893976351</v>
      </c>
      <c r="Q42" s="114">
        <f>M42/P35</f>
        <v>1.2146032653415297E-2</v>
      </c>
      <c r="R42" s="98">
        <f>'marri ash'!U16</f>
        <v>-27.318963093897473</v>
      </c>
      <c r="S42" s="101">
        <f>'marri ash'!U41</f>
        <v>1.19192251780271E-2</v>
      </c>
      <c r="T42" s="102">
        <f>S42/T36</f>
        <v>1.4661539741223877E-2</v>
      </c>
      <c r="U42" s="102">
        <f>'marri ash'!W45</f>
        <v>5.8155171631461</v>
      </c>
      <c r="V42" s="109">
        <f>1000*((T42/H27)-1)</f>
        <v>-0.2106172786634497</v>
      </c>
      <c r="W42" s="99">
        <f>S42/V35</f>
        <v>1.2236597595948657E-2</v>
      </c>
    </row>
    <row r="43" spans="1:23" ht="17" customHeight="1">
      <c r="A43" s="118" t="s">
        <v>276</v>
      </c>
      <c r="B43" s="118"/>
      <c r="C43" s="118"/>
      <c r="D43" s="118"/>
      <c r="E43" s="118"/>
      <c r="F43" s="89">
        <f>'gingko ash'!AV17</f>
        <v>-30.37864761660547</v>
      </c>
      <c r="G43" s="91">
        <f>'gingko ash'!AV41</f>
        <v>1.1774104904304732E-2</v>
      </c>
      <c r="H43" s="106">
        <f>G43/H36</f>
        <v>1.4734221718516136E-2</v>
      </c>
      <c r="I43" s="91">
        <f>'gingko ash'!AX45</f>
        <v>8.5878070545684082</v>
      </c>
      <c r="J43" s="106">
        <f>1000*((H43/H22)-1)</f>
        <v>10.972121881491992</v>
      </c>
      <c r="K43" s="115">
        <f t="shared" si="30"/>
        <v>1.2219227722545165E-2</v>
      </c>
      <c r="L43" s="93">
        <f>'cycads ash'!AH16</f>
        <v>-31.708480676065577</v>
      </c>
      <c r="M43" s="108">
        <f>'cycads ash'!AH40</f>
        <v>1.198181643161675E-2</v>
      </c>
      <c r="N43" s="96">
        <f>M43/N36</f>
        <v>1.4634292135934266E-2</v>
      </c>
      <c r="O43" s="96">
        <f>'cycads ash'!AJ44</f>
        <v>4.5479043565355148</v>
      </c>
      <c r="P43" s="108">
        <f>1000*((N43/H23)-1)</f>
        <v>7.2292611704050103</v>
      </c>
      <c r="Q43" s="114">
        <f>M43/P36</f>
        <v>1.213635518613883E-2</v>
      </c>
      <c r="R43" s="98">
        <f>'marri ash'!AJ16</f>
        <v>-33.103046723823361</v>
      </c>
      <c r="S43" s="101">
        <f>'marri ash'!AJ41</f>
        <v>1.1743364388540092E-2</v>
      </c>
      <c r="T43" s="102">
        <f>S43/T36</f>
        <v>1.4445217797852926E-2</v>
      </c>
      <c r="U43" s="102">
        <f>'marri ash'!AL45</f>
        <v>-5.3970440114813343</v>
      </c>
      <c r="V43" s="109">
        <f>1000*((T43/H28)-1)</f>
        <v>-3.1088417053266593</v>
      </c>
      <c r="W43" s="99">
        <f>S43/V36</f>
        <v>1.1979554071180582E-2</v>
      </c>
    </row>
    <row r="44" spans="1:23">
      <c r="K44" s="12"/>
      <c r="L44" s="12"/>
      <c r="M44" s="12"/>
      <c r="N44" s="12"/>
      <c r="O44" s="12"/>
    </row>
    <row r="45" spans="1:2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</row>
    <row r="46" spans="1:23">
      <c r="A46" s="103"/>
      <c r="B46" s="103"/>
      <c r="C46" s="103"/>
      <c r="D46" s="103"/>
      <c r="E46" s="103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</row>
    <row r="47" spans="1:23">
      <c r="A47" s="104"/>
      <c r="B47" s="81"/>
      <c r="C47" s="104"/>
      <c r="D47" s="104"/>
      <c r="E47" s="104"/>
      <c r="F47" s="81"/>
      <c r="G47" s="105"/>
      <c r="H47" s="81"/>
      <c r="I47" s="105"/>
      <c r="J47" s="81"/>
      <c r="K47" s="105"/>
      <c r="L47" s="81"/>
      <c r="M47" s="105"/>
      <c r="N47" s="81"/>
      <c r="O47" s="105"/>
      <c r="P47" s="81"/>
      <c r="Q47" s="105"/>
      <c r="R47" s="81"/>
      <c r="S47" s="105"/>
      <c r="T47" s="81"/>
      <c r="U47" s="105"/>
    </row>
    <row r="48" spans="1:23">
      <c r="A48" s="41"/>
      <c r="B48" s="20"/>
      <c r="C48" s="26"/>
      <c r="D48" s="26"/>
      <c r="E48" s="26"/>
      <c r="F48" s="20"/>
      <c r="G48" s="26"/>
      <c r="H48" s="18"/>
      <c r="I48" s="38"/>
      <c r="J48" s="20"/>
      <c r="K48" s="84"/>
      <c r="L48" s="80"/>
      <c r="M48" s="84"/>
      <c r="N48" s="80"/>
      <c r="O48" s="84"/>
      <c r="P48" s="80"/>
      <c r="Q48" s="84"/>
      <c r="R48" s="80"/>
      <c r="S48" s="84"/>
      <c r="T48" s="80"/>
      <c r="U48" s="84"/>
    </row>
    <row r="49" spans="1:21">
      <c r="A49" s="27"/>
      <c r="B49" s="39"/>
      <c r="C49" s="39"/>
      <c r="D49" s="39"/>
      <c r="E49" s="39"/>
      <c r="F49" s="27"/>
      <c r="G49" s="27"/>
      <c r="H49" s="39"/>
      <c r="I49" s="39"/>
      <c r="J49" s="39"/>
      <c r="K49" s="84"/>
      <c r="L49" s="80"/>
      <c r="M49" s="84"/>
      <c r="N49" s="80"/>
      <c r="O49" s="84"/>
      <c r="P49" s="80"/>
      <c r="Q49" s="84"/>
      <c r="R49" s="80"/>
      <c r="S49" s="84"/>
      <c r="T49" s="80"/>
      <c r="U49" s="84"/>
    </row>
    <row r="50" spans="1:21">
      <c r="A50" s="27"/>
      <c r="B50" s="39"/>
      <c r="C50" s="39"/>
      <c r="D50" s="39"/>
      <c r="E50" s="39"/>
      <c r="F50" s="27"/>
      <c r="G50" s="27"/>
      <c r="H50" s="39"/>
      <c r="I50" s="39"/>
      <c r="J50" s="39"/>
      <c r="K50" s="84"/>
      <c r="L50" s="80"/>
      <c r="M50" s="84"/>
      <c r="N50" s="80"/>
      <c r="O50" s="84"/>
      <c r="P50" s="80"/>
      <c r="Q50" s="84"/>
      <c r="R50" s="80"/>
      <c r="S50" s="84"/>
      <c r="T50" s="80"/>
      <c r="U50" s="84"/>
    </row>
    <row r="51" spans="1:21">
      <c r="A51" s="12"/>
      <c r="B51" s="12"/>
      <c r="C51" s="12"/>
      <c r="D51" s="12"/>
      <c r="E51" s="12"/>
      <c r="H51" s="12"/>
      <c r="I51" s="12"/>
      <c r="J51" s="12"/>
      <c r="K51" s="84"/>
      <c r="L51" s="80"/>
      <c r="M51" s="84"/>
      <c r="N51" s="80"/>
      <c r="O51" s="84"/>
      <c r="P51" s="80"/>
      <c r="Q51" s="84"/>
      <c r="R51" s="80"/>
      <c r="S51" s="84"/>
      <c r="T51" s="80"/>
      <c r="U51" s="84"/>
    </row>
    <row r="52" spans="1:21">
      <c r="B52" s="12"/>
      <c r="C52" s="12"/>
      <c r="D52" s="12"/>
      <c r="E52" s="12"/>
      <c r="H52" s="12"/>
      <c r="I52" s="12"/>
      <c r="J52" s="12"/>
      <c r="K52" s="84"/>
      <c r="L52" s="80"/>
      <c r="M52" s="84"/>
      <c r="N52" s="80"/>
      <c r="O52" s="84"/>
      <c r="P52" s="80"/>
      <c r="Q52" s="84"/>
      <c r="R52" s="80"/>
      <c r="S52" s="84"/>
      <c r="T52" s="80"/>
      <c r="U52" s="84"/>
    </row>
    <row r="53" spans="1:2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84"/>
      <c r="L53" s="80"/>
      <c r="M53" s="84"/>
      <c r="N53" s="80"/>
      <c r="O53" s="84"/>
      <c r="P53" s="80"/>
      <c r="Q53" s="84"/>
      <c r="R53" s="80"/>
      <c r="S53" s="84"/>
      <c r="T53" s="80"/>
      <c r="U53" s="84"/>
    </row>
    <row r="54" spans="1:2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</row>
    <row r="55" spans="1:21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</row>
    <row r="56" spans="1:21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</row>
    <row r="57" spans="1:21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</row>
    <row r="58" spans="1:21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</row>
  </sheetData>
  <mergeCells count="17">
    <mergeCell ref="A42:E42"/>
    <mergeCell ref="F30:I30"/>
    <mergeCell ref="L30:O30"/>
    <mergeCell ref="R30:U30"/>
    <mergeCell ref="F31:I31"/>
    <mergeCell ref="L31:O31"/>
    <mergeCell ref="R31:U31"/>
    <mergeCell ref="F38:I38"/>
    <mergeCell ref="L38:O38"/>
    <mergeCell ref="R38:U38"/>
    <mergeCell ref="A40:E40"/>
    <mergeCell ref="A41:E41"/>
    <mergeCell ref="A43:E43"/>
    <mergeCell ref="F46:I46"/>
    <mergeCell ref="J46:M46"/>
    <mergeCell ref="N46:Q46"/>
    <mergeCell ref="R46:U4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FA720-978D-154D-B924-767AA62EB69E}">
  <dimension ref="A1:U52"/>
  <sheetViews>
    <sheetView topLeftCell="B8" workbookViewId="0">
      <selection activeCell="H27" sqref="H27"/>
    </sheetView>
  </sheetViews>
  <sheetFormatPr baseColWidth="10" defaultRowHeight="16"/>
  <cols>
    <col min="1" max="1" width="19.5" style="11" customWidth="1"/>
    <col min="2" max="2" width="24" style="11" customWidth="1"/>
    <col min="3" max="5" width="14.83203125" style="11" customWidth="1"/>
    <col min="6" max="6" width="18.5" style="11" customWidth="1"/>
    <col min="7" max="7" width="26.6640625" style="11" customWidth="1"/>
    <col min="8" max="8" width="17.83203125" style="11" customWidth="1"/>
    <col min="9" max="9" width="18.1640625" style="11" customWidth="1"/>
    <col min="10" max="10" width="15.83203125" style="11" customWidth="1"/>
    <col min="11" max="11" width="17.5" style="11" customWidth="1"/>
    <col min="12" max="12" width="13.5" style="11" customWidth="1"/>
    <col min="13" max="13" width="15.1640625" style="11" customWidth="1"/>
    <col min="14" max="14" width="15.33203125" style="11" customWidth="1"/>
    <col min="15" max="15" width="20.6640625" style="11" customWidth="1"/>
    <col min="16" max="16" width="12.33203125" style="11" customWidth="1"/>
    <col min="17" max="17" width="16.1640625" style="11" customWidth="1"/>
    <col min="18" max="16384" width="10.83203125" style="11"/>
  </cols>
  <sheetData>
    <row r="1" spans="1:18" ht="17">
      <c r="A1" s="9"/>
      <c r="B1" s="10" t="s">
        <v>84</v>
      </c>
      <c r="C1" s="9"/>
      <c r="E1" s="12"/>
      <c r="F1" s="13" t="s">
        <v>85</v>
      </c>
      <c r="G1" s="14" t="s">
        <v>86</v>
      </c>
      <c r="H1" s="15" t="s">
        <v>87</v>
      </c>
    </row>
    <row r="2" spans="1:18">
      <c r="A2" s="16" t="s">
        <v>88</v>
      </c>
      <c r="B2" s="17">
        <v>1.1237199999999999E-2</v>
      </c>
      <c r="C2" s="17"/>
      <c r="E2" s="18" t="s">
        <v>89</v>
      </c>
      <c r="F2" s="12">
        <v>16</v>
      </c>
      <c r="G2" s="12">
        <v>14</v>
      </c>
      <c r="H2" s="11">
        <v>10</v>
      </c>
      <c r="I2" s="12"/>
      <c r="J2" s="12"/>
      <c r="K2" s="12"/>
      <c r="L2" s="12"/>
      <c r="M2" s="12"/>
    </row>
    <row r="3" spans="1:18">
      <c r="A3" s="16" t="s">
        <v>90</v>
      </c>
      <c r="B3" s="17">
        <f>1-B2</f>
        <v>0.98876280000000005</v>
      </c>
      <c r="C3" s="17"/>
      <c r="E3" s="18" t="s">
        <v>91</v>
      </c>
      <c r="F3" s="12">
        <f>B3^15 *B2</f>
        <v>9.4850558150320688E-3</v>
      </c>
      <c r="G3" s="12">
        <f>B3^13 *B2</f>
        <v>9.7018745228647472E-3</v>
      </c>
      <c r="H3" s="11">
        <f>B3^9 *B2</f>
        <v>1.0150493997434191E-2</v>
      </c>
      <c r="I3" s="12"/>
      <c r="J3" s="12"/>
      <c r="K3" s="12"/>
      <c r="L3" s="12"/>
      <c r="M3" s="12"/>
    </row>
    <row r="4" spans="1:18">
      <c r="A4" s="16" t="s">
        <v>92</v>
      </c>
      <c r="B4" s="17">
        <f>B2/B3</f>
        <v>1.1364909764000019E-2</v>
      </c>
      <c r="C4" s="17"/>
      <c r="E4" s="18" t="s">
        <v>93</v>
      </c>
      <c r="F4" s="12">
        <f>B3^14 *B2^2</f>
        <v>1.0779680344434312E-4</v>
      </c>
      <c r="G4" s="12">
        <f>B3^12 *B2^2</f>
        <v>1.102609284940086E-4</v>
      </c>
      <c r="H4" s="11">
        <f>B3^8 *B2^2</f>
        <v>1.1535944834086342E-4</v>
      </c>
      <c r="I4" s="12"/>
      <c r="J4" s="12"/>
      <c r="K4" s="12"/>
      <c r="L4" s="12"/>
      <c r="M4" s="12"/>
    </row>
    <row r="5" spans="1:18">
      <c r="A5" s="16" t="s">
        <v>94</v>
      </c>
      <c r="B5" s="17">
        <f>B2^2*B3^14</f>
        <v>1.0779680344434312E-4</v>
      </c>
      <c r="C5" s="17">
        <f>B5/B4</f>
        <v>9.4850558150320688E-3</v>
      </c>
      <c r="F5" s="12"/>
      <c r="G5" s="12"/>
      <c r="H5" s="12"/>
      <c r="I5" s="12"/>
      <c r="J5" s="12"/>
      <c r="K5" s="12"/>
      <c r="L5" s="12"/>
      <c r="M5" s="12"/>
    </row>
    <row r="6" spans="1:18">
      <c r="B6" s="12"/>
      <c r="C6" s="12"/>
      <c r="D6" s="12"/>
      <c r="F6" s="12"/>
      <c r="G6" s="12"/>
      <c r="H6" s="12"/>
      <c r="I6" s="12"/>
      <c r="J6" s="12"/>
      <c r="K6" s="12"/>
      <c r="L6" s="12"/>
      <c r="M6" s="12"/>
    </row>
    <row r="7" spans="1:18">
      <c r="B7" s="12"/>
      <c r="C7" s="12"/>
      <c r="D7" s="12"/>
      <c r="F7" s="12"/>
      <c r="G7" s="12"/>
      <c r="H7" s="12"/>
      <c r="I7" s="12"/>
      <c r="J7" s="12"/>
      <c r="K7" s="12"/>
      <c r="L7" s="12"/>
      <c r="M7" s="12"/>
    </row>
    <row r="8" spans="1:18">
      <c r="A8" s="19" t="s">
        <v>95</v>
      </c>
      <c r="F8" s="12"/>
      <c r="G8" s="12"/>
      <c r="H8" s="12"/>
      <c r="I8" s="12"/>
      <c r="J8" s="12"/>
      <c r="K8" s="12"/>
      <c r="L8" s="12"/>
      <c r="M8" s="12"/>
    </row>
    <row r="9" spans="1:18" s="27" customFormat="1" ht="34">
      <c r="A9" s="20" t="s">
        <v>96</v>
      </c>
      <c r="B9" s="20" t="s">
        <v>97</v>
      </c>
      <c r="C9" s="20" t="s">
        <v>98</v>
      </c>
      <c r="D9" s="20" t="s">
        <v>88</v>
      </c>
      <c r="E9" s="20" t="s">
        <v>90</v>
      </c>
      <c r="F9" s="21" t="s">
        <v>99</v>
      </c>
      <c r="G9" s="21" t="s">
        <v>100</v>
      </c>
      <c r="H9" s="22" t="s">
        <v>101</v>
      </c>
      <c r="I9" s="23" t="s">
        <v>102</v>
      </c>
      <c r="J9" s="14" t="s">
        <v>103</v>
      </c>
      <c r="K9" s="14" t="s">
        <v>104</v>
      </c>
      <c r="L9" s="24" t="s">
        <v>105</v>
      </c>
      <c r="M9" s="24" t="s">
        <v>106</v>
      </c>
      <c r="N9" s="25" t="s">
        <v>107</v>
      </c>
      <c r="O9" s="26"/>
      <c r="R9" s="26"/>
    </row>
    <row r="10" spans="1:18">
      <c r="A10" s="12">
        <v>0</v>
      </c>
      <c r="B10" s="12">
        <f>(A10/1000)+1</f>
        <v>1</v>
      </c>
      <c r="C10" s="12">
        <f t="shared" ref="C10:C20" si="0">B10*$B$4</f>
        <v>1.1364909764000019E-2</v>
      </c>
      <c r="D10" s="12">
        <f t="shared" ref="D10:D20" si="1">C10/(1+C10)</f>
        <v>1.1237199999999998E-2</v>
      </c>
      <c r="E10" s="12">
        <f>1-D10</f>
        <v>0.98876280000000005</v>
      </c>
      <c r="F10" s="28">
        <f>E10^14*D10^2</f>
        <v>1.0779680344434309E-4</v>
      </c>
      <c r="G10" s="28">
        <f>F10/E10^16</f>
        <v>1.2916117394386293E-4</v>
      </c>
      <c r="H10" s="28">
        <f>G10*((16*15) /2)</f>
        <v>1.5499340873263552E-2</v>
      </c>
      <c r="I10" s="29">
        <f t="shared" ref="I10:I20" si="2">E10^12*D10^2</f>
        <v>1.1026092849400857E-4</v>
      </c>
      <c r="J10" s="30">
        <f>I10/E10^14</f>
        <v>1.2916117394386298E-4</v>
      </c>
      <c r="K10" s="30">
        <f>J10*((14*13)/2)</f>
        <v>1.1753666828891531E-2</v>
      </c>
      <c r="L10" s="31">
        <f t="shared" ref="L10:L20" si="3">E10^8*D10^2</f>
        <v>1.1535944834086341E-4</v>
      </c>
      <c r="M10" s="31">
        <f>L10/E10^10</f>
        <v>1.2916117394386295E-4</v>
      </c>
      <c r="N10" s="32">
        <f>M10*((10*9)/2)</f>
        <v>5.8122528274738329E-3</v>
      </c>
    </row>
    <row r="11" spans="1:18">
      <c r="A11" s="12">
        <v>-5</v>
      </c>
      <c r="B11" s="12">
        <f t="shared" ref="B11:B20" si="4">(A11/1000)+1</f>
        <v>0.995</v>
      </c>
      <c r="C11" s="12">
        <f t="shared" si="0"/>
        <v>1.1308085215180019E-2</v>
      </c>
      <c r="D11" s="12">
        <f t="shared" si="1"/>
        <v>1.1181642251751554E-2</v>
      </c>
      <c r="E11" s="12">
        <f t="shared" ref="E11:E20" si="5">1-D11</f>
        <v>0.98881835774824844</v>
      </c>
      <c r="F11" s="28">
        <f>E11^14*D11^2</f>
        <v>1.0681751625905236E-4</v>
      </c>
      <c r="G11" s="28">
        <f t="shared" ref="G11:G20" si="6">F11/E11^16</f>
        <v>1.278727912337729E-4</v>
      </c>
      <c r="H11" s="28">
        <f>G11*((16*15) /2)</f>
        <v>1.5344734948052748E-2</v>
      </c>
      <c r="I11" s="29">
        <f t="shared" si="2"/>
        <v>1.0924697846567155E-4</v>
      </c>
      <c r="J11" s="30">
        <f t="shared" ref="J11:J20" si="7">I11/E11^14</f>
        <v>1.278727912337729E-4</v>
      </c>
      <c r="K11" s="30">
        <f t="shared" ref="K11:K20" si="8">J11*((14*13)/2)</f>
        <v>1.1636424002273334E-2</v>
      </c>
      <c r="L11" s="31">
        <f t="shared" si="3"/>
        <v>1.1427292699936173E-4</v>
      </c>
      <c r="M11" s="31">
        <f t="shared" ref="M11:M20" si="9">L11/E11^10</f>
        <v>1.278727912337729E-4</v>
      </c>
      <c r="N11" s="32">
        <f t="shared" ref="N11:N20" si="10">M11*((10*9)/2)</f>
        <v>5.7542756055197807E-3</v>
      </c>
    </row>
    <row r="12" spans="1:18">
      <c r="A12" s="12">
        <v>-10</v>
      </c>
      <c r="B12" s="12">
        <f t="shared" si="4"/>
        <v>0.99</v>
      </c>
      <c r="C12" s="12">
        <f>B12*$B$4</f>
        <v>1.1251260666360018E-2</v>
      </c>
      <c r="D12" s="12">
        <f t="shared" si="1"/>
        <v>1.1126078259666194E-2</v>
      </c>
      <c r="E12" s="12">
        <f>1-D12</f>
        <v>0.98887392174033384</v>
      </c>
      <c r="F12" s="28">
        <f>E12^14*D12^2</f>
        <v>1.0584178520764198E-4</v>
      </c>
      <c r="G12" s="28">
        <f t="shared" si="6"/>
        <v>1.2659086658238009E-4</v>
      </c>
      <c r="H12" s="28">
        <f t="shared" ref="H12:H20" si="11">G12*((16*15) /2)</f>
        <v>1.5190903989885611E-2</v>
      </c>
      <c r="I12" s="29">
        <f t="shared" si="2"/>
        <v>1.0823689084048018E-4</v>
      </c>
      <c r="J12" s="30">
        <f t="shared" si="7"/>
        <v>1.2659086658238012E-4</v>
      </c>
      <c r="K12" s="30">
        <f t="shared" si="8"/>
        <v>1.1519768858996591E-2</v>
      </c>
      <c r="L12" s="31">
        <f t="shared" si="3"/>
        <v>1.1319092592627456E-4</v>
      </c>
      <c r="M12" s="31">
        <f t="shared" si="9"/>
        <v>1.2659086658238012E-4</v>
      </c>
      <c r="N12" s="32">
        <f t="shared" si="10"/>
        <v>5.6965889962071053E-3</v>
      </c>
    </row>
    <row r="13" spans="1:18">
      <c r="A13" s="12">
        <v>-15</v>
      </c>
      <c r="B13" s="12">
        <f t="shared" si="4"/>
        <v>0.98499999999999999</v>
      </c>
      <c r="C13" s="12">
        <f t="shared" si="0"/>
        <v>1.1194436117540018E-2</v>
      </c>
      <c r="D13" s="12">
        <f t="shared" si="1"/>
        <v>1.1070508022691286E-2</v>
      </c>
      <c r="E13" s="12">
        <f t="shared" si="5"/>
        <v>0.98892949197730873</v>
      </c>
      <c r="F13" s="28">
        <f t="shared" ref="F13:F20" si="12">E13^14*D13^2</f>
        <v>1.0486962217912392E-4</v>
      </c>
      <c r="G13" s="28">
        <f t="shared" si="6"/>
        <v>1.2531539998968442E-4</v>
      </c>
      <c r="H13" s="28">
        <f t="shared" si="11"/>
        <v>1.503784799876213E-2</v>
      </c>
      <c r="I13" s="29">
        <f t="shared" si="2"/>
        <v>1.0723067653008358E-4</v>
      </c>
      <c r="J13" s="30">
        <f t="shared" si="7"/>
        <v>1.2531539998968442E-4</v>
      </c>
      <c r="K13" s="30">
        <f t="shared" si="8"/>
        <v>1.1403701399061281E-2</v>
      </c>
      <c r="L13" s="31">
        <f t="shared" si="3"/>
        <v>1.1211345368566564E-4</v>
      </c>
      <c r="M13" s="31">
        <f t="shared" si="9"/>
        <v>1.2531539998968444E-4</v>
      </c>
      <c r="N13" s="32">
        <f t="shared" si="10"/>
        <v>5.6391929995358E-3</v>
      </c>
    </row>
    <row r="14" spans="1:18">
      <c r="A14" s="12">
        <v>-20</v>
      </c>
      <c r="B14" s="12">
        <f t="shared" si="4"/>
        <v>0.98</v>
      </c>
      <c r="C14" s="12">
        <f t="shared" si="0"/>
        <v>1.1137611568720018E-2</v>
      </c>
      <c r="D14" s="12">
        <f t="shared" si="1"/>
        <v>1.1014931539773972E-2</v>
      </c>
      <c r="E14" s="12">
        <f t="shared" si="5"/>
        <v>0.98898506846022605</v>
      </c>
      <c r="F14" s="28">
        <f t="shared" si="12"/>
        <v>1.039010390867185E-4</v>
      </c>
      <c r="G14" s="28">
        <f t="shared" si="6"/>
        <v>1.2404639145568598E-4</v>
      </c>
      <c r="H14" s="28">
        <f>G14*((16*15) /2)</f>
        <v>1.4885566974682317E-2</v>
      </c>
      <c r="I14" s="29">
        <f t="shared" si="2"/>
        <v>1.0622834646555423E-4</v>
      </c>
      <c r="J14" s="30">
        <f t="shared" si="7"/>
        <v>1.2404639145568598E-4</v>
      </c>
      <c r="K14" s="30">
        <f t="shared" si="8"/>
        <v>1.1288221622467424E-2</v>
      </c>
      <c r="L14" s="31">
        <f t="shared" si="3"/>
        <v>1.1104051885258135E-4</v>
      </c>
      <c r="M14" s="31">
        <f t="shared" si="9"/>
        <v>1.2404639145568598E-4</v>
      </c>
      <c r="N14" s="32">
        <f t="shared" si="10"/>
        <v>5.5820876155058688E-3</v>
      </c>
    </row>
    <row r="15" spans="1:18" s="33" customFormat="1">
      <c r="A15" s="33">
        <v>-24</v>
      </c>
      <c r="B15" s="33">
        <f t="shared" si="4"/>
        <v>0.97599999999999998</v>
      </c>
      <c r="C15" s="33">
        <f t="shared" si="0"/>
        <v>1.1092151929664017E-2</v>
      </c>
      <c r="D15" s="33">
        <f t="shared" si="1"/>
        <v>1.0970465855653913E-2</v>
      </c>
      <c r="E15" s="33">
        <f t="shared" si="5"/>
        <v>0.98902953414434613</v>
      </c>
      <c r="F15" s="34">
        <f t="shared" si="12"/>
        <v>1.0312875818795935E-4</v>
      </c>
      <c r="G15" s="28">
        <f t="shared" si="6"/>
        <v>1.2303583443074918E-4</v>
      </c>
      <c r="H15" s="34">
        <f t="shared" si="11"/>
        <v>1.4764300131689901E-2</v>
      </c>
      <c r="I15" s="35">
        <f t="shared" si="2"/>
        <v>1.0542928642905365E-4</v>
      </c>
      <c r="J15" s="30">
        <f t="shared" si="7"/>
        <v>1.2303583443074918E-4</v>
      </c>
      <c r="K15" s="35">
        <f t="shared" si="8"/>
        <v>1.1196260933198175E-2</v>
      </c>
      <c r="L15" s="36">
        <f t="shared" si="3"/>
        <v>1.1018544368898143E-4</v>
      </c>
      <c r="M15" s="31">
        <f t="shared" si="9"/>
        <v>1.2303583443074918E-4</v>
      </c>
      <c r="N15" s="36">
        <f t="shared" si="10"/>
        <v>5.5366125493837128E-3</v>
      </c>
    </row>
    <row r="16" spans="1:18">
      <c r="A16" s="12">
        <v>-25</v>
      </c>
      <c r="B16" s="12">
        <f>(A16/1000)+1</f>
        <v>0.97499999999999998</v>
      </c>
      <c r="C16" s="12">
        <f t="shared" si="0"/>
        <v>1.1080787019900019E-2</v>
      </c>
      <c r="D16" s="12">
        <f t="shared" si="1"/>
        <v>1.0959348809861151E-2</v>
      </c>
      <c r="E16" s="12">
        <f t="shared" si="5"/>
        <v>0.98904065119013884</v>
      </c>
      <c r="F16" s="28">
        <f t="shared" si="12"/>
        <v>1.0293604786789571E-4</v>
      </c>
      <c r="G16" s="28">
        <f t="shared" si="6"/>
        <v>1.227838409803847E-4</v>
      </c>
      <c r="H16" s="28">
        <f t="shared" si="11"/>
        <v>1.4734060917646164E-2</v>
      </c>
      <c r="I16" s="29">
        <f t="shared" si="2"/>
        <v>1.0522991159741706E-4</v>
      </c>
      <c r="J16" s="30">
        <f t="shared" si="7"/>
        <v>1.2278384098038473E-4</v>
      </c>
      <c r="K16" s="30">
        <f t="shared" si="8"/>
        <v>1.1173329529215011E-2</v>
      </c>
      <c r="L16" s="31">
        <f t="shared" si="3"/>
        <v>1.0997213001306254E-4</v>
      </c>
      <c r="M16" s="31">
        <f t="shared" si="9"/>
        <v>1.227838409803847E-4</v>
      </c>
      <c r="N16" s="32">
        <f t="shared" si="10"/>
        <v>5.525272844117312E-3</v>
      </c>
    </row>
    <row r="17" spans="1:17" s="33" customFormat="1">
      <c r="A17" s="34">
        <v>-25.2</v>
      </c>
      <c r="B17" s="34">
        <f>(A17/1000)+1</f>
        <v>0.9748</v>
      </c>
      <c r="C17" s="34">
        <f t="shared" si="0"/>
        <v>1.1078514037947218E-2</v>
      </c>
      <c r="D17" s="34">
        <f t="shared" si="1"/>
        <v>1.0957125370712235E-2</v>
      </c>
      <c r="E17" s="34">
        <f t="shared" si="5"/>
        <v>0.98904287462928775</v>
      </c>
      <c r="F17" s="34">
        <f t="shared" si="12"/>
        <v>1.0289752309921804E-4</v>
      </c>
      <c r="G17" s="28">
        <f t="shared" si="6"/>
        <v>1.2273347328899359E-4</v>
      </c>
      <c r="H17" s="34">
        <f t="shared" si="11"/>
        <v>1.472801679467923E-2</v>
      </c>
      <c r="I17" s="35">
        <f t="shared" si="2"/>
        <v>1.051900553778702E-4</v>
      </c>
      <c r="J17" s="30">
        <f t="shared" si="7"/>
        <v>1.2273347328899359E-4</v>
      </c>
      <c r="K17" s="35">
        <f t="shared" si="8"/>
        <v>1.1168746069298416E-2</v>
      </c>
      <c r="L17" s="36">
        <f t="shared" si="3"/>
        <v>1.0992948913770728E-4</v>
      </c>
      <c r="M17" s="31">
        <f t="shared" si="9"/>
        <v>1.2273347328899359E-4</v>
      </c>
      <c r="N17" s="36">
        <f t="shared" si="10"/>
        <v>5.5230062980047116E-3</v>
      </c>
    </row>
    <row r="18" spans="1:17">
      <c r="A18" s="12">
        <v>-30</v>
      </c>
      <c r="B18" s="12">
        <f t="shared" si="4"/>
        <v>0.97</v>
      </c>
      <c r="C18" s="12">
        <f t="shared" si="0"/>
        <v>1.1023962471080019E-2</v>
      </c>
      <c r="D18" s="12">
        <f t="shared" si="1"/>
        <v>1.0903759831899489E-2</v>
      </c>
      <c r="E18" s="12">
        <f t="shared" si="5"/>
        <v>0.98909624016810049</v>
      </c>
      <c r="F18" s="28">
        <f t="shared" si="12"/>
        <v>1.0197466048441824E-4</v>
      </c>
      <c r="G18" s="28">
        <f t="shared" si="6"/>
        <v>1.2152774856378067E-4</v>
      </c>
      <c r="H18" s="28">
        <f t="shared" si="11"/>
        <v>1.4583329827653681E-2</v>
      </c>
      <c r="I18" s="29">
        <f t="shared" si="2"/>
        <v>1.0423538289568019E-4</v>
      </c>
      <c r="J18" s="30">
        <f t="shared" si="7"/>
        <v>1.2152774856378069E-4</v>
      </c>
      <c r="K18" s="30">
        <f t="shared" si="8"/>
        <v>1.1059025119304042E-2</v>
      </c>
      <c r="L18" s="31">
        <f t="shared" si="3"/>
        <v>1.0890829576415778E-4</v>
      </c>
      <c r="M18" s="31">
        <f t="shared" si="9"/>
        <v>1.2152774856378068E-4</v>
      </c>
      <c r="N18" s="32">
        <f t="shared" si="10"/>
        <v>5.4687486853701303E-3</v>
      </c>
    </row>
    <row r="19" spans="1:17">
      <c r="A19" s="28">
        <v>-3.92</v>
      </c>
      <c r="B19" s="28">
        <f t="shared" si="4"/>
        <v>0.99607999999999997</v>
      </c>
      <c r="C19" s="28">
        <f t="shared" si="0"/>
        <v>1.1320359317725138E-2</v>
      </c>
      <c r="D19" s="28">
        <f t="shared" si="1"/>
        <v>1.1193643254015256E-2</v>
      </c>
      <c r="E19" s="28">
        <f t="shared" si="5"/>
        <v>0.98880635674598472</v>
      </c>
      <c r="F19" s="28">
        <f t="shared" si="12"/>
        <v>1.0702874159368294E-4</v>
      </c>
      <c r="G19" s="28">
        <f t="shared" si="6"/>
        <v>1.2815053508240639E-4</v>
      </c>
      <c r="H19" s="28">
        <f t="shared" si="11"/>
        <v>1.5378064209888766E-2</v>
      </c>
      <c r="I19" s="29">
        <f t="shared" si="2"/>
        <v>1.0946566500851625E-4</v>
      </c>
      <c r="J19" s="30">
        <f t="shared" si="7"/>
        <v>1.2815053508240639E-4</v>
      </c>
      <c r="K19" s="30">
        <f t="shared" si="8"/>
        <v>1.1661698692498982E-2</v>
      </c>
      <c r="L19" s="31">
        <f t="shared" si="3"/>
        <v>1.1450723316267221E-4</v>
      </c>
      <c r="M19" s="31">
        <f t="shared" si="9"/>
        <v>1.2815053508240639E-4</v>
      </c>
      <c r="N19" s="32">
        <f t="shared" si="10"/>
        <v>5.766774078708287E-3</v>
      </c>
    </row>
    <row r="20" spans="1:17">
      <c r="A20" s="28">
        <v>-11.81</v>
      </c>
      <c r="B20" s="28">
        <f t="shared" si="4"/>
        <v>0.98819000000000001</v>
      </c>
      <c r="C20" s="28">
        <f t="shared" si="0"/>
        <v>1.1230690179687178E-2</v>
      </c>
      <c r="D20" s="28">
        <f t="shared" si="1"/>
        <v>1.1105962555083823E-2</v>
      </c>
      <c r="E20" s="28">
        <f t="shared" si="5"/>
        <v>0.98889403744491622</v>
      </c>
      <c r="F20" s="28">
        <f t="shared" si="12"/>
        <v>1.0548944953911647E-4</v>
      </c>
      <c r="G20" s="28">
        <f t="shared" si="6"/>
        <v>1.26128401912122E-4</v>
      </c>
      <c r="H20" s="28">
        <f t="shared" si="11"/>
        <v>1.5135408229454641E-2</v>
      </c>
      <c r="I20" s="29">
        <f t="shared" si="2"/>
        <v>1.0787219340480453E-4</v>
      </c>
      <c r="J20" s="30">
        <f t="shared" si="7"/>
        <v>1.2612840191212197E-4</v>
      </c>
      <c r="K20" s="30">
        <f t="shared" si="8"/>
        <v>1.14776845740031E-2</v>
      </c>
      <c r="L20" s="31">
        <f t="shared" si="3"/>
        <v>1.12800357545329E-4</v>
      </c>
      <c r="M20" s="31">
        <f t="shared" si="9"/>
        <v>1.2612840191212197E-4</v>
      </c>
      <c r="N20" s="32">
        <f t="shared" si="10"/>
        <v>5.6757780860454887E-3</v>
      </c>
    </row>
    <row r="21" spans="1:17">
      <c r="A21" s="12"/>
      <c r="B21" s="12"/>
      <c r="C21" s="12"/>
      <c r="D21" s="12"/>
      <c r="E21" s="12"/>
      <c r="F21" s="12"/>
      <c r="G21" s="12"/>
      <c r="H21" s="12"/>
      <c r="J21" s="12"/>
      <c r="K21" s="12"/>
      <c r="L21" s="12"/>
      <c r="M21" s="12"/>
    </row>
    <row r="22" spans="1:17">
      <c r="A22" s="12"/>
      <c r="B22" s="12"/>
      <c r="C22" s="12"/>
      <c r="D22" s="12"/>
      <c r="E22" s="12"/>
      <c r="F22" s="12"/>
      <c r="G22" s="12"/>
      <c r="H22" s="12"/>
      <c r="I22" s="12"/>
      <c r="J22" s="12"/>
      <c r="L22" s="12"/>
      <c r="M22" s="12"/>
      <c r="N22" s="12"/>
      <c r="O22" s="12"/>
    </row>
    <row r="23" spans="1:17">
      <c r="A23" s="12"/>
      <c r="B23" s="12"/>
      <c r="C23" s="12"/>
      <c r="D23" s="12"/>
      <c r="E23" s="12"/>
      <c r="F23" s="12"/>
      <c r="G23" s="12"/>
      <c r="H23" s="12"/>
      <c r="I23" s="12"/>
      <c r="J23" s="12"/>
      <c r="L23" s="12"/>
      <c r="M23" s="12"/>
      <c r="N23" s="12"/>
      <c r="O23" s="12"/>
    </row>
    <row r="24" spans="1:17">
      <c r="A24" s="12"/>
      <c r="B24" s="12"/>
      <c r="C24" s="12"/>
      <c r="D24" s="12"/>
      <c r="E24" s="12"/>
      <c r="F24" s="121" t="s">
        <v>271</v>
      </c>
      <c r="G24" s="121"/>
      <c r="H24" s="121"/>
      <c r="I24" s="121"/>
      <c r="J24" s="122" t="s">
        <v>272</v>
      </c>
      <c r="K24" s="122"/>
      <c r="L24" s="122"/>
      <c r="M24" s="122"/>
      <c r="N24" s="123" t="s">
        <v>273</v>
      </c>
      <c r="O24" s="123"/>
      <c r="P24" s="123"/>
      <c r="Q24" s="123"/>
    </row>
    <row r="25" spans="1:17">
      <c r="A25" s="12"/>
      <c r="B25" s="12"/>
      <c r="C25" s="12"/>
      <c r="D25" s="12"/>
      <c r="E25" s="12"/>
      <c r="F25" s="121" t="s">
        <v>274</v>
      </c>
      <c r="G25" s="121"/>
      <c r="H25" s="121"/>
      <c r="I25" s="121"/>
      <c r="J25" s="124" t="s">
        <v>274</v>
      </c>
      <c r="K25" s="124"/>
      <c r="L25" s="124"/>
      <c r="M25" s="124"/>
      <c r="N25" s="123" t="s">
        <v>274</v>
      </c>
      <c r="O25" s="123"/>
      <c r="P25" s="123"/>
      <c r="Q25" s="123"/>
    </row>
    <row r="26" spans="1:17" ht="51">
      <c r="A26" s="37"/>
      <c r="B26" s="18" t="s">
        <v>108</v>
      </c>
      <c r="C26" s="26" t="s">
        <v>109</v>
      </c>
      <c r="D26" s="26" t="s">
        <v>279</v>
      </c>
      <c r="E26" s="26" t="s">
        <v>280</v>
      </c>
      <c r="F26" s="88" t="s">
        <v>110</v>
      </c>
      <c r="G26" s="89" t="s">
        <v>111</v>
      </c>
      <c r="H26" s="90" t="s">
        <v>112</v>
      </c>
      <c r="I26" s="88" t="s">
        <v>113</v>
      </c>
      <c r="J26" s="94" t="s">
        <v>110</v>
      </c>
      <c r="K26" s="93" t="s">
        <v>111</v>
      </c>
      <c r="L26" s="95" t="s">
        <v>112</v>
      </c>
      <c r="M26" s="94" t="s">
        <v>113</v>
      </c>
      <c r="N26" s="98" t="s">
        <v>110</v>
      </c>
      <c r="O26" s="99" t="s">
        <v>111</v>
      </c>
      <c r="P26" s="100" t="s">
        <v>112</v>
      </c>
      <c r="Q26" s="98" t="s">
        <v>113</v>
      </c>
    </row>
    <row r="27" spans="1:17" ht="17">
      <c r="A27" s="27" t="s">
        <v>114</v>
      </c>
      <c r="B27" s="33">
        <v>-24.4</v>
      </c>
      <c r="C27" s="33">
        <v>0.56000000000000005</v>
      </c>
      <c r="D27" s="11">
        <f>'[1]collated data - 4262022 - s (2)'!S109</f>
        <v>9.5019803987612048E-3</v>
      </c>
      <c r="E27" s="11">
        <f>'[1]collated data - 4262022 - s (2)'!T109</f>
        <v>4.5585766615958969E-3</v>
      </c>
      <c r="F27" s="91">
        <f>'gingko ash'!D43</f>
        <v>9.0473456200330024E-3</v>
      </c>
      <c r="G27" s="91">
        <f>'gingko ash'!E43</f>
        <v>4.670315317668078E-3</v>
      </c>
      <c r="H27" s="89">
        <f>$D$27-F27</f>
        <v>4.5463477872820235E-4</v>
      </c>
      <c r="I27" s="91">
        <f>H27+F27</f>
        <v>9.5019803987612048E-3</v>
      </c>
      <c r="J27" s="96">
        <f>'cycads ash'!D42</f>
        <v>9.0564420720687221E-3</v>
      </c>
      <c r="K27" s="97">
        <f>'cycads ash'!E42</f>
        <v>5.4205939628872843E-3</v>
      </c>
      <c r="L27" s="93">
        <f>$D$27-J27</f>
        <v>4.4553832669248263E-4</v>
      </c>
      <c r="M27" s="97">
        <f>L27+J27</f>
        <v>9.5019803987612048E-3</v>
      </c>
      <c r="N27" s="101">
        <f>'marri ash'!D43</f>
        <v>8.9442669647833116E-3</v>
      </c>
      <c r="O27" s="101">
        <f>'marri ash'!E43</f>
        <v>5.5820653642759911E-3</v>
      </c>
      <c r="P27" s="99">
        <f>$D$27-N27</f>
        <v>5.5771343397789316E-4</v>
      </c>
      <c r="Q27" s="102">
        <f>P27+N27</f>
        <v>9.5019803987612048E-3</v>
      </c>
    </row>
    <row r="28" spans="1:17" ht="17">
      <c r="A28" s="27" t="s">
        <v>115</v>
      </c>
      <c r="B28" s="33">
        <v>-24.1</v>
      </c>
      <c r="C28" s="33">
        <v>0.46</v>
      </c>
      <c r="D28" s="12">
        <f>'[1]collated data - 4262022 - s (2)'!AD109</f>
        <v>9.5016990107643518E-3</v>
      </c>
      <c r="E28" s="11">
        <f>'[1]collated data - 4262022 - s (2)'!AE109</f>
        <v>4.3308090064732218E-3</v>
      </c>
      <c r="F28" s="92">
        <f>'gingko ash'!R43</f>
        <v>9.1757962203216116E-3</v>
      </c>
      <c r="G28" s="91">
        <f>'gingko ash'!S43</f>
        <v>4.0474858889137681E-3</v>
      </c>
      <c r="H28" s="89">
        <f>$D$28-F28</f>
        <v>3.2590279044274022E-4</v>
      </c>
      <c r="I28" s="91">
        <f t="shared" ref="I28:I30" si="13">H28+F28</f>
        <v>9.5016990107643518E-3</v>
      </c>
      <c r="J28" s="96" t="s">
        <v>270</v>
      </c>
      <c r="K28" s="97" t="s">
        <v>270</v>
      </c>
      <c r="L28" s="93" t="s">
        <v>270</v>
      </c>
      <c r="M28" s="97" t="s">
        <v>270</v>
      </c>
      <c r="N28" s="101" t="s">
        <v>270</v>
      </c>
      <c r="O28" s="101" t="s">
        <v>270</v>
      </c>
      <c r="P28" s="99" t="s">
        <v>270</v>
      </c>
      <c r="Q28" s="102" t="s">
        <v>270</v>
      </c>
    </row>
    <row r="29" spans="1:17" ht="17">
      <c r="A29" s="39" t="s">
        <v>116</v>
      </c>
      <c r="B29" s="33">
        <v>-24.2</v>
      </c>
      <c r="C29" s="33">
        <v>0.42</v>
      </c>
      <c r="D29" s="12">
        <f>'[1]collated data - 4262022 - s (2)'!AO109</f>
        <v>1.2243663544170075E-2</v>
      </c>
      <c r="E29" s="11">
        <f>'[1]collated data - 4262022 - s (2)'!AP109</f>
        <v>2.5481018425751612E-3</v>
      </c>
      <c r="F29" s="92">
        <f>'gingko ash'!AG43</f>
        <v>1.053450291921898E-2</v>
      </c>
      <c r="G29" s="91">
        <f>'gingko ash'!AH43</f>
        <v>4.3943408447307637E-3</v>
      </c>
      <c r="H29" s="89">
        <f>$D$29-F29</f>
        <v>1.7091606249510956E-3</v>
      </c>
      <c r="I29" s="91">
        <f t="shared" si="13"/>
        <v>1.2243663544170075E-2</v>
      </c>
      <c r="J29" s="96">
        <f>'cycads ash'!S42</f>
        <v>1.2090431735016421E-2</v>
      </c>
      <c r="K29" s="97">
        <f>'cycads ash'!T42</f>
        <v>4.7047471984000711E-3</v>
      </c>
      <c r="L29" s="93">
        <f>$D$29-J29</f>
        <v>1.53231809153654E-4</v>
      </c>
      <c r="M29" s="97">
        <f t="shared" ref="M29:M30" si="14">L29+J29</f>
        <v>1.2243663544170075E-2</v>
      </c>
      <c r="N29" s="101">
        <f>'marri ash'!U43</f>
        <v>1.192610786149258E-2</v>
      </c>
      <c r="O29" s="101">
        <f>'marri ash'!V43</f>
        <v>5.4745038127714312E-3</v>
      </c>
      <c r="P29" s="99">
        <f>$D$29-N29</f>
        <v>3.1755568267749501E-4</v>
      </c>
      <c r="Q29" s="102">
        <f t="shared" ref="Q29:Q30" si="15">P29+N29</f>
        <v>1.2243663544170075E-2</v>
      </c>
    </row>
    <row r="30" spans="1:17" ht="17">
      <c r="A30" s="27" t="s">
        <v>276</v>
      </c>
      <c r="B30" s="33">
        <v>-25.2</v>
      </c>
      <c r="C30" s="33">
        <v>0.49</v>
      </c>
      <c r="D30" s="12">
        <f>'[1]collated data - 4262022 - s (2)'!AZ109</f>
        <v>1.2244172031591444E-2</v>
      </c>
      <c r="E30" s="11">
        <f>'[1]collated data - 4262022 - s (2)'!BA109</f>
        <v>2.3233953224474041E-3</v>
      </c>
      <c r="F30" s="92">
        <f>'gingko ash'!AV43</f>
        <v>1.1798140540446809E-2</v>
      </c>
      <c r="G30" s="91">
        <f>'gingko ash'!AW43</f>
        <v>5.0776887323153441E-3</v>
      </c>
      <c r="H30" s="89">
        <f>$D$30-F30</f>
        <v>4.4603149114463489E-4</v>
      </c>
      <c r="I30" s="91">
        <f t="shared" si="13"/>
        <v>1.2244172031591444E-2</v>
      </c>
      <c r="J30" s="96">
        <f>'cycads ash'!AH42</f>
        <v>1.2088260387041246E-2</v>
      </c>
      <c r="K30" s="97">
        <f>'cycads ash'!AI42</f>
        <v>4.6163861269762282E-3</v>
      </c>
      <c r="L30" s="93">
        <f>$D$30-J30</f>
        <v>1.5591164455019783E-4</v>
      </c>
      <c r="M30" s="97">
        <f t="shared" si="14"/>
        <v>1.2244172031591444E-2</v>
      </c>
      <c r="N30" s="101">
        <f>'marri ash'!AJ43</f>
        <v>1.2002765123692064E-2</v>
      </c>
      <c r="O30" s="101">
        <f>'marri ash'!AK43</f>
        <v>5.7300658739400075E-3</v>
      </c>
      <c r="P30" s="99">
        <f>$D$30-N30</f>
        <v>2.4140690789938024E-4</v>
      </c>
      <c r="Q30" s="102">
        <f t="shared" si="15"/>
        <v>1.2244172031591444E-2</v>
      </c>
    </row>
    <row r="31" spans="1:17">
      <c r="A31" s="18"/>
      <c r="B31" s="40"/>
      <c r="L31" s="12"/>
      <c r="M31" s="12"/>
      <c r="N31" s="12"/>
      <c r="O31" s="12"/>
    </row>
    <row r="32" spans="1:17">
      <c r="B32" s="12"/>
      <c r="C32" s="12"/>
      <c r="D32" s="12"/>
      <c r="E32" s="12"/>
      <c r="F32" s="121" t="s">
        <v>275</v>
      </c>
      <c r="G32" s="121"/>
      <c r="H32" s="121"/>
      <c r="I32" s="121"/>
      <c r="J32" s="124" t="s">
        <v>275</v>
      </c>
      <c r="K32" s="124"/>
      <c r="L32" s="124"/>
      <c r="M32" s="124"/>
      <c r="N32" s="123" t="s">
        <v>275</v>
      </c>
      <c r="O32" s="123"/>
      <c r="P32" s="123"/>
      <c r="Q32" s="123"/>
    </row>
    <row r="33" spans="1:21" ht="34">
      <c r="F33" s="88" t="s">
        <v>267</v>
      </c>
      <c r="G33" s="89" t="s">
        <v>277</v>
      </c>
      <c r="H33" s="90" t="s">
        <v>278</v>
      </c>
      <c r="I33" s="88" t="s">
        <v>269</v>
      </c>
      <c r="J33" s="94" t="s">
        <v>267</v>
      </c>
      <c r="K33" s="93" t="s">
        <v>277</v>
      </c>
      <c r="L33" s="95" t="s">
        <v>278</v>
      </c>
      <c r="M33" s="94" t="s">
        <v>269</v>
      </c>
      <c r="N33" s="98" t="s">
        <v>267</v>
      </c>
      <c r="O33" s="99" t="s">
        <v>277</v>
      </c>
      <c r="P33" s="100" t="s">
        <v>278</v>
      </c>
      <c r="Q33" s="98" t="s">
        <v>269</v>
      </c>
      <c r="R33" s="27"/>
      <c r="S33" s="27"/>
    </row>
    <row r="34" spans="1:21" s="27" customFormat="1" ht="16" customHeight="1">
      <c r="A34" s="118" t="s">
        <v>114</v>
      </c>
      <c r="B34" s="118"/>
      <c r="C34" s="118"/>
      <c r="D34" s="118"/>
      <c r="E34" s="118"/>
      <c r="F34" s="106">
        <f>'gingko ash'!D17</f>
        <v>-28.113838899445188</v>
      </c>
      <c r="G34" s="106">
        <f>'gingko ash'!D41</f>
        <v>8.9418956522404457E-3</v>
      </c>
      <c r="H34" s="106">
        <f>G34+H27</f>
        <v>9.3965304309686481E-3</v>
      </c>
      <c r="I34" s="106">
        <f>'gingko ash'!F45</f>
        <v>-4.0419027975449051</v>
      </c>
      <c r="J34" s="107">
        <f>'cycads ash'!D16</f>
        <v>-31.784288811670613</v>
      </c>
      <c r="K34" s="97">
        <f>'cycads ash'!D40</f>
        <v>8.879469797475904E-3</v>
      </c>
      <c r="L34" s="108">
        <f>K34+L27</f>
        <v>9.3250081241683866E-3</v>
      </c>
      <c r="M34" s="108">
        <f>'cycads ash'!F44</f>
        <v>-4.4030941058815785</v>
      </c>
      <c r="N34" s="109">
        <f>'marri ash'!D16</f>
        <v>-21.311877122206504</v>
      </c>
      <c r="O34" s="109">
        <f>'marri ash'!D41</f>
        <v>8.8836277848441669E-3</v>
      </c>
      <c r="P34" s="110">
        <f>O34+P27</f>
        <v>9.4413412188220601E-3</v>
      </c>
      <c r="Q34" s="110">
        <f>'marri ash'!F45</f>
        <v>-13.110385377242185</v>
      </c>
    </row>
    <row r="35" spans="1:21" s="27" customFormat="1" ht="17" customHeight="1">
      <c r="A35" s="118" t="s">
        <v>115</v>
      </c>
      <c r="B35" s="118"/>
      <c r="C35" s="118"/>
      <c r="D35" s="118"/>
      <c r="E35" s="118"/>
      <c r="F35" s="106">
        <f>'gingko ash'!R17</f>
        <v>-24.083980533661897</v>
      </c>
      <c r="G35" s="106">
        <f>'gingko ash'!R41</f>
        <v>9.1522332865316466E-3</v>
      </c>
      <c r="H35" s="106">
        <f>G35+H28</f>
        <v>9.4781360769743868E-3</v>
      </c>
      <c r="I35" s="106">
        <f>'gingko ash'!T45</f>
        <v>-2.6007744595186733</v>
      </c>
      <c r="J35" s="96" t="s">
        <v>270</v>
      </c>
      <c r="K35" s="97" t="s">
        <v>270</v>
      </c>
      <c r="L35" s="97" t="s">
        <v>270</v>
      </c>
      <c r="M35" s="97" t="s">
        <v>270</v>
      </c>
      <c r="N35" s="101" t="s">
        <v>270</v>
      </c>
      <c r="O35" s="101" t="s">
        <v>270</v>
      </c>
      <c r="P35" s="102" t="s">
        <v>270</v>
      </c>
      <c r="Q35" s="102" t="s">
        <v>270</v>
      </c>
    </row>
    <row r="36" spans="1:21" ht="17" customHeight="1">
      <c r="A36" s="120" t="s">
        <v>116</v>
      </c>
      <c r="B36" s="120"/>
      <c r="C36" s="120"/>
      <c r="D36" s="120"/>
      <c r="E36" s="120"/>
      <c r="F36" s="91">
        <f>'gingko ash'!AG17</f>
        <v>-24.183982175168815</v>
      </c>
      <c r="G36" s="91">
        <f>'gingko ash'!AG41</f>
        <v>1.0435580967349057E-2</v>
      </c>
      <c r="H36" s="91">
        <f>G36+H29</f>
        <v>1.2144741592300152E-2</v>
      </c>
      <c r="I36" s="91">
        <f>'gingko ash'!AI45</f>
        <v>-9.4231120183410066</v>
      </c>
      <c r="J36" s="97">
        <f>'cycads ash'!S16</f>
        <v>-29.319628255334074</v>
      </c>
      <c r="K36" s="108">
        <f>'cycads ash'!S40</f>
        <v>1.1994022713677253E-2</v>
      </c>
      <c r="L36" s="97">
        <f>K36+L29</f>
        <v>1.2147254522830907E-2</v>
      </c>
      <c r="M36" s="96">
        <f>'cycads ash'!U44</f>
        <v>2.5191984766801401</v>
      </c>
      <c r="N36" s="101">
        <f>'marri ash'!U16</f>
        <v>-27.318963093897473</v>
      </c>
      <c r="O36" s="101">
        <f>'marri ash'!U41</f>
        <v>1.19192251780271E-2</v>
      </c>
      <c r="P36" s="102">
        <f>O36+P29</f>
        <v>1.2236780860704595E-2</v>
      </c>
      <c r="Q36" s="102">
        <f>'marri ash'!W45</f>
        <v>5.8155171631461</v>
      </c>
    </row>
    <row r="37" spans="1:21" ht="17" customHeight="1">
      <c r="A37" s="118" t="s">
        <v>276</v>
      </c>
      <c r="B37" s="118"/>
      <c r="C37" s="118"/>
      <c r="D37" s="118"/>
      <c r="E37" s="118"/>
      <c r="F37" s="91">
        <f>'gingko ash'!AV17</f>
        <v>-30.37864761660547</v>
      </c>
      <c r="G37" s="91">
        <f>'gingko ash'!AV41</f>
        <v>1.1774104904304732E-2</v>
      </c>
      <c r="H37" s="91">
        <f>G37+H30</f>
        <v>1.2220136395449367E-2</v>
      </c>
      <c r="I37" s="91">
        <f>'gingko ash'!AX45</f>
        <v>8.5878070545684082</v>
      </c>
      <c r="J37" s="97">
        <f>'cycads ash'!AH16</f>
        <v>-31.708480676065577</v>
      </c>
      <c r="K37" s="108">
        <f>'cycads ash'!AH40</f>
        <v>1.198181643161675E-2</v>
      </c>
      <c r="L37" s="96">
        <f>K37+L30</f>
        <v>1.2137728076166948E-2</v>
      </c>
      <c r="M37" s="96">
        <f>'cycads ash'!AJ44</f>
        <v>4.5479043565355148</v>
      </c>
      <c r="N37" s="101">
        <f>'marri ash'!AJ16</f>
        <v>-33.103046723823361</v>
      </c>
      <c r="O37" s="101">
        <f>'marri ash'!AJ41</f>
        <v>1.1743364388540092E-2</v>
      </c>
      <c r="P37" s="102">
        <f>O37+P30</f>
        <v>1.1984771296439472E-2</v>
      </c>
      <c r="Q37" s="102">
        <f>'marri ash'!AL45</f>
        <v>-5.3970440114813343</v>
      </c>
    </row>
    <row r="38" spans="1:21">
      <c r="K38" s="12"/>
      <c r="L38" s="12"/>
      <c r="M38" s="12"/>
      <c r="N38" s="12"/>
      <c r="O38" s="12"/>
    </row>
    <row r="39" spans="1:21" ht="17" thickBo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</row>
    <row r="40" spans="1:21">
      <c r="A40" s="103"/>
      <c r="B40" s="103"/>
      <c r="C40" s="103"/>
      <c r="D40" s="103"/>
      <c r="E40" s="103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25"/>
      <c r="T40" s="125"/>
      <c r="U40" s="126"/>
    </row>
    <row r="41" spans="1:21">
      <c r="A41" s="104"/>
      <c r="B41" s="81"/>
      <c r="C41" s="104"/>
      <c r="D41" s="104"/>
      <c r="E41" s="104"/>
      <c r="F41" s="81"/>
      <c r="G41" s="105"/>
      <c r="H41" s="81"/>
      <c r="I41" s="105"/>
      <c r="J41" s="81"/>
      <c r="K41" s="105"/>
      <c r="L41" s="81"/>
      <c r="M41" s="105"/>
      <c r="N41" s="81"/>
      <c r="O41" s="105"/>
      <c r="P41" s="81"/>
      <c r="Q41" s="105"/>
      <c r="R41" s="81"/>
      <c r="S41" s="83" t="s">
        <v>268</v>
      </c>
      <c r="T41" s="79" t="s">
        <v>269</v>
      </c>
      <c r="U41" s="82" t="s">
        <v>268</v>
      </c>
    </row>
    <row r="42" spans="1:21">
      <c r="A42" s="41"/>
      <c r="B42" s="20"/>
      <c r="C42" s="26"/>
      <c r="D42" s="26"/>
      <c r="E42" s="26"/>
      <c r="F42" s="20"/>
      <c r="G42" s="26"/>
      <c r="H42" s="18"/>
      <c r="I42" s="38"/>
      <c r="J42" s="20"/>
      <c r="K42" s="84"/>
      <c r="L42" s="80"/>
      <c r="M42" s="84"/>
      <c r="N42" s="80"/>
      <c r="O42" s="84"/>
      <c r="P42" s="80"/>
      <c r="Q42" s="84"/>
      <c r="R42" s="80"/>
      <c r="S42" s="85">
        <f>'gingko ash'!AW55</f>
        <v>0</v>
      </c>
      <c r="T42" s="86">
        <f>'gingko ash'!AX83</f>
        <v>0</v>
      </c>
      <c r="U42" s="87">
        <f>'gingko ash'!AW83</f>
        <v>0</v>
      </c>
    </row>
    <row r="43" spans="1:21">
      <c r="A43" s="27"/>
      <c r="B43" s="39"/>
      <c r="C43" s="39"/>
      <c r="D43" s="39"/>
      <c r="E43" s="39"/>
      <c r="F43" s="27"/>
      <c r="G43" s="27"/>
      <c r="H43" s="39"/>
      <c r="I43" s="39"/>
      <c r="J43" s="39"/>
      <c r="K43" s="84"/>
      <c r="L43" s="80"/>
      <c r="M43" s="84"/>
      <c r="N43" s="80"/>
      <c r="O43" s="84"/>
      <c r="P43" s="80"/>
      <c r="Q43" s="84"/>
      <c r="R43" s="80"/>
      <c r="S43" s="85">
        <f>'gingko ash'!AW56</f>
        <v>0</v>
      </c>
      <c r="T43" s="86" t="s">
        <v>270</v>
      </c>
      <c r="U43" s="87" t="s">
        <v>270</v>
      </c>
    </row>
    <row r="44" spans="1:21">
      <c r="A44" s="27"/>
      <c r="B44" s="39"/>
      <c r="C44" s="39"/>
      <c r="D44" s="39"/>
      <c r="E44" s="39"/>
      <c r="F44" s="27"/>
      <c r="G44" s="27"/>
      <c r="H44" s="39"/>
      <c r="I44" s="39"/>
      <c r="J44" s="39"/>
      <c r="K44" s="84"/>
      <c r="L44" s="80"/>
      <c r="M44" s="84"/>
      <c r="N44" s="80"/>
      <c r="O44" s="84"/>
      <c r="P44" s="80"/>
      <c r="Q44" s="84"/>
      <c r="R44" s="80"/>
      <c r="S44" s="85">
        <f>'cycads ash'!AI54</f>
        <v>0</v>
      </c>
      <c r="T44" s="86">
        <f>'cycads ash'!AJ82</f>
        <v>0</v>
      </c>
      <c r="U44" s="87">
        <f>'cycads ash'!AI82</f>
        <v>0</v>
      </c>
    </row>
    <row r="45" spans="1:21">
      <c r="A45" s="12"/>
      <c r="B45" s="12"/>
      <c r="C45" s="12"/>
      <c r="D45" s="12"/>
      <c r="E45" s="12"/>
      <c r="H45" s="12"/>
      <c r="I45" s="12"/>
      <c r="J45" s="12"/>
      <c r="K45" s="84"/>
      <c r="L45" s="80"/>
      <c r="M45" s="84"/>
      <c r="N45" s="80"/>
      <c r="O45" s="84"/>
      <c r="P45" s="80"/>
      <c r="Q45" s="84"/>
      <c r="R45" s="80"/>
      <c r="S45" s="85">
        <f>'cycads ash'!AI55</f>
        <v>0</v>
      </c>
      <c r="T45" s="86" t="s">
        <v>270</v>
      </c>
      <c r="U45" s="87" t="s">
        <v>270</v>
      </c>
    </row>
    <row r="46" spans="1:21">
      <c r="B46" s="12"/>
      <c r="C46" s="12"/>
      <c r="D46" s="12"/>
      <c r="E46" s="12"/>
      <c r="H46" s="12"/>
      <c r="I46" s="12"/>
      <c r="J46" s="12"/>
      <c r="K46" s="84"/>
      <c r="L46" s="80"/>
      <c r="M46" s="84"/>
      <c r="N46" s="80"/>
      <c r="O46" s="84"/>
      <c r="P46" s="80"/>
      <c r="Q46" s="84"/>
      <c r="R46" s="80"/>
      <c r="S46" s="85">
        <f>'marri ash'!AK54</f>
        <v>0</v>
      </c>
      <c r="T46" s="86">
        <f>'marri ash'!AL83</f>
        <v>0</v>
      </c>
      <c r="U46" s="87">
        <f>'marri ash'!AK83</f>
        <v>0</v>
      </c>
    </row>
    <row r="47" spans="1:2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84"/>
      <c r="L47" s="80"/>
      <c r="M47" s="84"/>
      <c r="N47" s="80"/>
      <c r="O47" s="84"/>
      <c r="P47" s="80"/>
      <c r="Q47" s="84"/>
      <c r="R47" s="80"/>
      <c r="S47" s="85">
        <f>'marri ash'!AK55</f>
        <v>0</v>
      </c>
      <c r="T47" s="86" t="s">
        <v>270</v>
      </c>
      <c r="U47" s="87" t="s">
        <v>270</v>
      </c>
    </row>
    <row r="48" spans="1:2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</row>
    <row r="49" spans="2:15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0" spans="2:15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</row>
    <row r="51" spans="2:15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2:15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</row>
  </sheetData>
  <mergeCells count="17">
    <mergeCell ref="A37:E37"/>
    <mergeCell ref="F40:I40"/>
    <mergeCell ref="J40:M40"/>
    <mergeCell ref="N40:Q40"/>
    <mergeCell ref="R40:U40"/>
    <mergeCell ref="A36:E36"/>
    <mergeCell ref="F24:I24"/>
    <mergeCell ref="J24:M24"/>
    <mergeCell ref="N24:Q24"/>
    <mergeCell ref="F25:I25"/>
    <mergeCell ref="J25:M25"/>
    <mergeCell ref="N25:Q25"/>
    <mergeCell ref="F32:I32"/>
    <mergeCell ref="J32:M32"/>
    <mergeCell ref="N32:Q32"/>
    <mergeCell ref="A34:E34"/>
    <mergeCell ref="A35:E3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37511-F65F-7F4A-8BFF-0F136694026F}">
  <dimension ref="A1:U52"/>
  <sheetViews>
    <sheetView workbookViewId="0">
      <selection activeCell="G23" sqref="G23"/>
    </sheetView>
  </sheetViews>
  <sheetFormatPr baseColWidth="10" defaultRowHeight="16"/>
  <cols>
    <col min="1" max="1" width="19.5" style="11" customWidth="1"/>
    <col min="2" max="2" width="24" style="11" customWidth="1"/>
    <col min="3" max="5" width="14.83203125" style="11" customWidth="1"/>
    <col min="6" max="6" width="18.5" style="11" customWidth="1"/>
    <col min="7" max="7" width="26.6640625" style="11" customWidth="1"/>
    <col min="8" max="8" width="17.83203125" style="11" customWidth="1"/>
    <col min="9" max="9" width="18.1640625" style="11" customWidth="1"/>
    <col min="10" max="10" width="15.83203125" style="11" customWidth="1"/>
    <col min="11" max="11" width="17.5" style="11" customWidth="1"/>
    <col min="12" max="12" width="13.5" style="11" customWidth="1"/>
    <col min="13" max="13" width="15.1640625" style="11" customWidth="1"/>
    <col min="14" max="14" width="15.33203125" style="11" customWidth="1"/>
    <col min="15" max="15" width="20.6640625" style="11" customWidth="1"/>
    <col min="16" max="16" width="12.33203125" style="11" customWidth="1"/>
    <col min="17" max="17" width="16.1640625" style="11" customWidth="1"/>
    <col min="18" max="16384" width="10.83203125" style="11"/>
  </cols>
  <sheetData>
    <row r="1" spans="1:18" ht="17">
      <c r="A1" s="9"/>
      <c r="B1" s="10" t="s">
        <v>84</v>
      </c>
      <c r="C1" s="9"/>
      <c r="E1" s="12"/>
      <c r="F1" s="13" t="s">
        <v>85</v>
      </c>
      <c r="G1" s="14" t="s">
        <v>86</v>
      </c>
      <c r="H1" s="15" t="s">
        <v>87</v>
      </c>
    </row>
    <row r="2" spans="1:18">
      <c r="A2" s="16" t="s">
        <v>88</v>
      </c>
      <c r="B2" s="17">
        <v>1.1237199999999999E-2</v>
      </c>
      <c r="C2" s="17"/>
      <c r="E2" s="18" t="s">
        <v>89</v>
      </c>
      <c r="F2" s="12">
        <v>16</v>
      </c>
      <c r="G2" s="12">
        <v>14</v>
      </c>
      <c r="H2" s="11">
        <v>10</v>
      </c>
      <c r="I2" s="12"/>
      <c r="J2" s="12"/>
      <c r="K2" s="12"/>
      <c r="L2" s="12"/>
      <c r="M2" s="12"/>
    </row>
    <row r="3" spans="1:18">
      <c r="A3" s="16" t="s">
        <v>90</v>
      </c>
      <c r="B3" s="17">
        <f>1-B2</f>
        <v>0.98876280000000005</v>
      </c>
      <c r="C3" s="17"/>
      <c r="E3" s="18" t="s">
        <v>91</v>
      </c>
      <c r="F3" s="12">
        <f>B3^15 *B2</f>
        <v>9.4850558150320688E-3</v>
      </c>
      <c r="G3" s="12">
        <f>B3^13 *B2</f>
        <v>9.7018745228647472E-3</v>
      </c>
      <c r="H3" s="11">
        <f>B3^9 *B2</f>
        <v>1.0150493997434191E-2</v>
      </c>
      <c r="I3" s="12"/>
      <c r="J3" s="12"/>
      <c r="K3" s="12"/>
      <c r="L3" s="12"/>
      <c r="M3" s="12"/>
    </row>
    <row r="4" spans="1:18">
      <c r="A4" s="16" t="s">
        <v>92</v>
      </c>
      <c r="B4" s="17">
        <f>B2/B3</f>
        <v>1.1364909764000019E-2</v>
      </c>
      <c r="C4" s="17"/>
      <c r="E4" s="18" t="s">
        <v>93</v>
      </c>
      <c r="F4" s="12">
        <f>B3^14 *B2^2</f>
        <v>1.0779680344434312E-4</v>
      </c>
      <c r="G4" s="12">
        <f>B3^12 *B2^2</f>
        <v>1.102609284940086E-4</v>
      </c>
      <c r="H4" s="11">
        <f>B3^8 *B2^2</f>
        <v>1.1535944834086342E-4</v>
      </c>
      <c r="I4" s="12"/>
      <c r="J4" s="12"/>
      <c r="K4" s="12"/>
      <c r="L4" s="12"/>
      <c r="M4" s="12"/>
    </row>
    <row r="5" spans="1:18">
      <c r="A5" s="16" t="s">
        <v>94</v>
      </c>
      <c r="B5" s="17">
        <f>B2^2*B3^14</f>
        <v>1.0779680344434312E-4</v>
      </c>
      <c r="C5" s="17">
        <f>B5/B4</f>
        <v>9.4850558150320688E-3</v>
      </c>
      <c r="F5" s="12"/>
      <c r="G5" s="12"/>
      <c r="H5" s="12"/>
      <c r="I5" s="12"/>
      <c r="J5" s="12"/>
      <c r="K5" s="12"/>
      <c r="L5" s="12"/>
      <c r="M5" s="12"/>
    </row>
    <row r="6" spans="1:18">
      <c r="B6" s="12"/>
      <c r="C6" s="12"/>
      <c r="D6" s="12"/>
      <c r="F6" s="12"/>
      <c r="G6" s="12"/>
      <c r="H6" s="12"/>
      <c r="I6" s="12"/>
      <c r="J6" s="12"/>
      <c r="K6" s="12"/>
      <c r="L6" s="12"/>
      <c r="M6" s="12"/>
    </row>
    <row r="7" spans="1:18">
      <c r="B7" s="12"/>
      <c r="C7" s="12"/>
      <c r="D7" s="12"/>
      <c r="F7" s="12"/>
      <c r="G7" s="12"/>
      <c r="H7" s="12"/>
      <c r="I7" s="12"/>
      <c r="J7" s="12"/>
      <c r="K7" s="12"/>
      <c r="L7" s="12"/>
      <c r="M7" s="12"/>
    </row>
    <row r="8" spans="1:18">
      <c r="A8" s="19" t="s">
        <v>95</v>
      </c>
      <c r="F8" s="12"/>
      <c r="G8" s="12"/>
      <c r="H8" s="12"/>
      <c r="I8" s="12"/>
      <c r="J8" s="12"/>
      <c r="K8" s="12"/>
      <c r="L8" s="12"/>
      <c r="M8" s="12"/>
    </row>
    <row r="9" spans="1:18" s="27" customFormat="1" ht="34">
      <c r="A9" s="20" t="s">
        <v>96</v>
      </c>
      <c r="B9" s="20" t="s">
        <v>97</v>
      </c>
      <c r="C9" s="20" t="s">
        <v>98</v>
      </c>
      <c r="D9" s="20" t="s">
        <v>88</v>
      </c>
      <c r="E9" s="20" t="s">
        <v>90</v>
      </c>
      <c r="F9" s="21" t="s">
        <v>99</v>
      </c>
      <c r="G9" s="21" t="s">
        <v>100</v>
      </c>
      <c r="H9" s="22" t="s">
        <v>101</v>
      </c>
      <c r="I9" s="23" t="s">
        <v>102</v>
      </c>
      <c r="J9" s="14" t="s">
        <v>103</v>
      </c>
      <c r="K9" s="14" t="s">
        <v>104</v>
      </c>
      <c r="L9" s="24" t="s">
        <v>105</v>
      </c>
      <c r="M9" s="24" t="s">
        <v>106</v>
      </c>
      <c r="N9" s="25" t="s">
        <v>107</v>
      </c>
      <c r="O9" s="26"/>
      <c r="R9" s="26"/>
    </row>
    <row r="10" spans="1:18">
      <c r="A10" s="12">
        <v>0</v>
      </c>
      <c r="B10" s="12">
        <f>(A10/1000)+1</f>
        <v>1</v>
      </c>
      <c r="C10" s="12">
        <f t="shared" ref="C10:C20" si="0">B10*$B$4</f>
        <v>1.1364909764000019E-2</v>
      </c>
      <c r="D10" s="12">
        <f t="shared" ref="D10:D20" si="1">C10/(1+C10)</f>
        <v>1.1237199999999998E-2</v>
      </c>
      <c r="E10" s="12">
        <f>1-D10</f>
        <v>0.98876280000000005</v>
      </c>
      <c r="F10" s="28">
        <f>E10^14*D10^2</f>
        <v>1.0779680344434309E-4</v>
      </c>
      <c r="G10" s="28">
        <f>F10/E10</f>
        <v>1.0902190438833569E-4</v>
      </c>
      <c r="H10" s="28">
        <f>G10*((16*15) /2)</f>
        <v>1.3082628526600283E-2</v>
      </c>
      <c r="I10" s="29">
        <f t="shared" ref="I10:I20" si="2">E10^12*D10^2</f>
        <v>1.1026092849400857E-4</v>
      </c>
      <c r="J10" s="30">
        <f t="shared" ref="J10:J20" si="3">I10/E10</f>
        <v>1.1151403399683783E-4</v>
      </c>
      <c r="K10" s="30">
        <f>J10*((14*13)/2)</f>
        <v>1.0147777093712243E-2</v>
      </c>
      <c r="L10" s="31">
        <f t="shared" ref="L10:L20" si="4">E10^8*D10^2</f>
        <v>1.1535944834086341E-4</v>
      </c>
      <c r="M10" s="31">
        <f t="shared" ref="M10:M20" si="5">L10/E10</f>
        <v>1.1667049806168214E-4</v>
      </c>
      <c r="N10" s="32">
        <f>M10*((10*9)/2)</f>
        <v>5.2501724127756964E-3</v>
      </c>
    </row>
    <row r="11" spans="1:18">
      <c r="A11" s="12">
        <v>-5</v>
      </c>
      <c r="B11" s="12">
        <f t="shared" ref="B11:B20" si="6">(A11/1000)+1</f>
        <v>0.995</v>
      </c>
      <c r="C11" s="12">
        <f t="shared" si="0"/>
        <v>1.1308085215180019E-2</v>
      </c>
      <c r="D11" s="12">
        <f t="shared" si="1"/>
        <v>1.1181642251751554E-2</v>
      </c>
      <c r="E11" s="12">
        <f t="shared" ref="E11:E20" si="7">1-D11</f>
        <v>0.98881835774824844</v>
      </c>
      <c r="F11" s="28">
        <f>E11^14*D11^2</f>
        <v>1.0681751625905236E-4</v>
      </c>
      <c r="G11" s="28">
        <f>F11/E11</f>
        <v>1.080254178353836E-4</v>
      </c>
      <c r="H11" s="28">
        <f>G11*((16*15) /2)</f>
        <v>1.2963050140246032E-2</v>
      </c>
      <c r="I11" s="29">
        <f t="shared" si="2"/>
        <v>1.0924697846567155E-4</v>
      </c>
      <c r="J11" s="30">
        <f t="shared" si="3"/>
        <v>1.1048235260766231E-4</v>
      </c>
      <c r="K11" s="30">
        <f t="shared" ref="K11:K20" si="8">J11*((14*13)/2)</f>
        <v>1.0053894087297271E-2</v>
      </c>
      <c r="L11" s="31">
        <f t="shared" si="4"/>
        <v>1.1427292699936173E-4</v>
      </c>
      <c r="M11" s="31">
        <f t="shared" si="5"/>
        <v>1.1556513499565855E-4</v>
      </c>
      <c r="N11" s="32">
        <f t="shared" ref="N11:N20" si="9">M11*((10*9)/2)</f>
        <v>5.2004310748046349E-3</v>
      </c>
    </row>
    <row r="12" spans="1:18">
      <c r="A12" s="12">
        <v>-10</v>
      </c>
      <c r="B12" s="12">
        <f t="shared" si="6"/>
        <v>0.99</v>
      </c>
      <c r="C12" s="12">
        <f>B12*$B$4</f>
        <v>1.1251260666360018E-2</v>
      </c>
      <c r="D12" s="12">
        <f t="shared" si="1"/>
        <v>1.1126078259666194E-2</v>
      </c>
      <c r="E12" s="12">
        <f>1-D12</f>
        <v>0.98887392174033384</v>
      </c>
      <c r="F12" s="28">
        <f>E12^14*D12^2</f>
        <v>1.0584178520764198E-4</v>
      </c>
      <c r="G12" s="28">
        <f>F12/E12</f>
        <v>1.0703263872240605E-4</v>
      </c>
      <c r="H12" s="28">
        <f t="shared" ref="H12:H20" si="10">G12*((16*15) /2)</f>
        <v>1.2843916646688725E-2</v>
      </c>
      <c r="I12" s="29">
        <f t="shared" si="2"/>
        <v>1.0823689084048018E-4</v>
      </c>
      <c r="J12" s="30">
        <f t="shared" si="3"/>
        <v>1.0945469231304278E-4</v>
      </c>
      <c r="K12" s="30">
        <f t="shared" si="8"/>
        <v>9.9603770004868929E-3</v>
      </c>
      <c r="L12" s="31">
        <f t="shared" si="4"/>
        <v>1.1319092592627456E-4</v>
      </c>
      <c r="M12" s="31">
        <f t="shared" si="5"/>
        <v>1.1446446653893771E-4</v>
      </c>
      <c r="N12" s="32">
        <f t="shared" si="9"/>
        <v>5.150900994252197E-3</v>
      </c>
    </row>
    <row r="13" spans="1:18">
      <c r="A13" s="12">
        <v>-15</v>
      </c>
      <c r="B13" s="12">
        <f t="shared" si="6"/>
        <v>0.98499999999999999</v>
      </c>
      <c r="C13" s="12">
        <f t="shared" si="0"/>
        <v>1.1194436117540018E-2</v>
      </c>
      <c r="D13" s="12">
        <f t="shared" si="1"/>
        <v>1.1070508022691286E-2</v>
      </c>
      <c r="E13" s="12">
        <f t="shared" si="7"/>
        <v>0.98892949197730873</v>
      </c>
      <c r="F13" s="28">
        <f t="shared" ref="F13:F20" si="11">E13^14*D13^2</f>
        <v>1.0486962217912392E-4</v>
      </c>
      <c r="G13" s="28">
        <f t="shared" ref="G13:G20" si="12">F13/E13</f>
        <v>1.0604357846527869E-4</v>
      </c>
      <c r="H13" s="28">
        <f t="shared" si="10"/>
        <v>1.2725229415833443E-2</v>
      </c>
      <c r="I13" s="29">
        <f t="shared" si="2"/>
        <v>1.0723067653008358E-4</v>
      </c>
      <c r="J13" s="30">
        <f t="shared" si="3"/>
        <v>1.084310634883402E-4</v>
      </c>
      <c r="K13" s="30">
        <f t="shared" si="8"/>
        <v>9.8672267774389585E-3</v>
      </c>
      <c r="L13" s="31">
        <f t="shared" si="4"/>
        <v>1.1211345368566564E-4</v>
      </c>
      <c r="M13" s="31">
        <f t="shared" si="5"/>
        <v>1.1336850058086661E-4</v>
      </c>
      <c r="N13" s="32">
        <f t="shared" si="9"/>
        <v>5.1015825261389973E-3</v>
      </c>
    </row>
    <row r="14" spans="1:18">
      <c r="A14" s="12">
        <v>-20</v>
      </c>
      <c r="B14" s="12">
        <f t="shared" si="6"/>
        <v>0.98</v>
      </c>
      <c r="C14" s="12">
        <f t="shared" si="0"/>
        <v>1.1137611568720018E-2</v>
      </c>
      <c r="D14" s="12">
        <f t="shared" si="1"/>
        <v>1.1014931539773972E-2</v>
      </c>
      <c r="E14" s="12">
        <f t="shared" si="7"/>
        <v>0.98898506846022605</v>
      </c>
      <c r="F14" s="28">
        <f t="shared" si="11"/>
        <v>1.039010390867185E-4</v>
      </c>
      <c r="G14" s="28">
        <f>F14/E14</f>
        <v>1.0505824850165276E-4</v>
      </c>
      <c r="H14" s="28">
        <f>G14*((16*15) /2)</f>
        <v>1.2606989820198332E-2</v>
      </c>
      <c r="I14" s="29">
        <f t="shared" si="2"/>
        <v>1.0622834646555423E-4</v>
      </c>
      <c r="J14" s="30">
        <f t="shared" si="3"/>
        <v>1.0741147652607498E-4</v>
      </c>
      <c r="K14" s="30">
        <f t="shared" si="8"/>
        <v>9.7744443638728227E-3</v>
      </c>
      <c r="L14" s="31">
        <f t="shared" si="4"/>
        <v>1.1104051885258135E-4</v>
      </c>
      <c r="M14" s="31">
        <f t="shared" si="5"/>
        <v>1.1227724501995053E-4</v>
      </c>
      <c r="N14" s="32">
        <f t="shared" si="9"/>
        <v>5.0524760258977737E-3</v>
      </c>
    </row>
    <row r="15" spans="1:18" s="33" customFormat="1">
      <c r="A15" s="33">
        <v>-24</v>
      </c>
      <c r="B15" s="33">
        <f t="shared" si="6"/>
        <v>0.97599999999999998</v>
      </c>
      <c r="C15" s="33">
        <f t="shared" si="0"/>
        <v>1.1092151929664017E-2</v>
      </c>
      <c r="D15" s="33">
        <f t="shared" si="1"/>
        <v>1.0970465855653913E-2</v>
      </c>
      <c r="E15" s="33">
        <f t="shared" si="7"/>
        <v>0.98902953414434613</v>
      </c>
      <c r="F15" s="34">
        <f t="shared" si="11"/>
        <v>1.0312875818795935E-4</v>
      </c>
      <c r="G15" s="34">
        <f t="shared" si="12"/>
        <v>1.0427267804209778E-4</v>
      </c>
      <c r="H15" s="34">
        <f t="shared" si="10"/>
        <v>1.2512721365051733E-2</v>
      </c>
      <c r="I15" s="35">
        <f t="shared" si="2"/>
        <v>1.0542928642905365E-4</v>
      </c>
      <c r="J15" s="35">
        <f t="shared" si="3"/>
        <v>1.0659872409196077E-4</v>
      </c>
      <c r="K15" s="35">
        <f t="shared" si="8"/>
        <v>9.7004838923684302E-3</v>
      </c>
      <c r="L15" s="36">
        <f t="shared" si="4"/>
        <v>1.1018544368898143E-4</v>
      </c>
      <c r="M15" s="36">
        <f t="shared" si="5"/>
        <v>1.1140763737081705E-4</v>
      </c>
      <c r="N15" s="36">
        <f t="shared" si="9"/>
        <v>5.0133436816867678E-3</v>
      </c>
    </row>
    <row r="16" spans="1:18">
      <c r="A16" s="12">
        <v>-25</v>
      </c>
      <c r="B16" s="12">
        <f>(A16/1000)+1</f>
        <v>0.97499999999999998</v>
      </c>
      <c r="C16" s="12">
        <f t="shared" si="0"/>
        <v>1.1080787019900019E-2</v>
      </c>
      <c r="D16" s="12">
        <f t="shared" si="1"/>
        <v>1.0959348809861151E-2</v>
      </c>
      <c r="E16" s="12">
        <f t="shared" si="7"/>
        <v>0.98904065119013884</v>
      </c>
      <c r="F16" s="28">
        <f t="shared" si="11"/>
        <v>1.0293604786789571E-4</v>
      </c>
      <c r="G16" s="28">
        <f t="shared" si="12"/>
        <v>1.0407666029099009E-4</v>
      </c>
      <c r="H16" s="28">
        <f t="shared" si="10"/>
        <v>1.2489199234918811E-2</v>
      </c>
      <c r="I16" s="29">
        <f t="shared" si="2"/>
        <v>1.0522991159741706E-4</v>
      </c>
      <c r="J16" s="30">
        <f t="shared" si="3"/>
        <v>1.0639594183595095E-4</v>
      </c>
      <c r="K16" s="30">
        <f t="shared" si="8"/>
        <v>9.6820307070715362E-3</v>
      </c>
      <c r="L16" s="31">
        <f t="shared" si="4"/>
        <v>1.0997213001306254E-4</v>
      </c>
      <c r="M16" s="31">
        <f t="shared" si="5"/>
        <v>1.1119070776386204E-4</v>
      </c>
      <c r="N16" s="32">
        <f t="shared" si="9"/>
        <v>5.0035818493737918E-3</v>
      </c>
    </row>
    <row r="17" spans="1:17" s="33" customFormat="1">
      <c r="A17" s="34">
        <v>-25.2</v>
      </c>
      <c r="B17" s="34">
        <f>(A17/1000)+1</f>
        <v>0.9748</v>
      </c>
      <c r="C17" s="34">
        <f t="shared" si="0"/>
        <v>1.1078514037947218E-2</v>
      </c>
      <c r="D17" s="34">
        <f t="shared" si="1"/>
        <v>1.0957125370712235E-2</v>
      </c>
      <c r="E17" s="34">
        <f t="shared" si="7"/>
        <v>0.98904287462928775</v>
      </c>
      <c r="F17" s="34">
        <f t="shared" si="11"/>
        <v>1.0289752309921804E-4</v>
      </c>
      <c r="G17" s="34">
        <f t="shared" si="12"/>
        <v>1.0403747475334272E-4</v>
      </c>
      <c r="H17" s="34">
        <f t="shared" si="10"/>
        <v>1.2484496970401127E-2</v>
      </c>
      <c r="I17" s="35">
        <f t="shared" si="2"/>
        <v>1.051900553778702E-4</v>
      </c>
      <c r="J17" s="35">
        <f t="shared" si="3"/>
        <v>1.0635540488302639E-4</v>
      </c>
      <c r="K17" s="35">
        <f t="shared" si="8"/>
        <v>9.6783418443554016E-3</v>
      </c>
      <c r="L17" s="36">
        <f t="shared" si="4"/>
        <v>1.0992948913770728E-4</v>
      </c>
      <c r="M17" s="36">
        <f t="shared" si="5"/>
        <v>1.1114734452630374E-4</v>
      </c>
      <c r="N17" s="36">
        <f t="shared" si="9"/>
        <v>5.0016305036836685E-3</v>
      </c>
    </row>
    <row r="18" spans="1:17">
      <c r="A18" s="12">
        <v>-30</v>
      </c>
      <c r="B18" s="12">
        <f t="shared" si="6"/>
        <v>0.97</v>
      </c>
      <c r="C18" s="12">
        <f t="shared" si="0"/>
        <v>1.1023962471080019E-2</v>
      </c>
      <c r="D18" s="12">
        <f t="shared" si="1"/>
        <v>1.0903759831899489E-2</v>
      </c>
      <c r="E18" s="12">
        <f t="shared" si="7"/>
        <v>0.98909624016810049</v>
      </c>
      <c r="F18" s="28">
        <f t="shared" si="11"/>
        <v>1.0197466048441824E-4</v>
      </c>
      <c r="G18" s="28">
        <f t="shared" si="12"/>
        <v>1.0309882531459959E-4</v>
      </c>
      <c r="H18" s="28">
        <f t="shared" si="10"/>
        <v>1.237185903775195E-2</v>
      </c>
      <c r="I18" s="29">
        <f t="shared" si="2"/>
        <v>1.0423538289568019E-4</v>
      </c>
      <c r="J18" s="30">
        <f t="shared" si="3"/>
        <v>1.0538446984488082E-4</v>
      </c>
      <c r="K18" s="30">
        <f t="shared" si="8"/>
        <v>9.5899867558841556E-3</v>
      </c>
      <c r="L18" s="31">
        <f t="shared" si="4"/>
        <v>1.0890829576415778E-4</v>
      </c>
      <c r="M18" s="31">
        <f t="shared" si="5"/>
        <v>1.1010889672945113E-4</v>
      </c>
      <c r="N18" s="32">
        <f t="shared" si="9"/>
        <v>4.954900352825301E-3</v>
      </c>
    </row>
    <row r="19" spans="1:17">
      <c r="A19" s="28">
        <v>-3.92</v>
      </c>
      <c r="B19" s="28">
        <f t="shared" si="6"/>
        <v>0.99607999999999997</v>
      </c>
      <c r="C19" s="28">
        <f t="shared" si="0"/>
        <v>1.1320359317725138E-2</v>
      </c>
      <c r="D19" s="28">
        <f t="shared" si="1"/>
        <v>1.1193643254015256E-2</v>
      </c>
      <c r="E19" s="28">
        <f t="shared" si="7"/>
        <v>0.98880635674598472</v>
      </c>
      <c r="F19" s="28">
        <f t="shared" si="11"/>
        <v>1.0702874159368294E-4</v>
      </c>
      <c r="G19" s="28">
        <f>F19/E19</f>
        <v>1.0824034540584739E-4</v>
      </c>
      <c r="H19" s="28">
        <f t="shared" si="10"/>
        <v>1.2988841448701686E-2</v>
      </c>
      <c r="I19" s="29">
        <f t="shared" si="2"/>
        <v>1.0946566500851625E-4</v>
      </c>
      <c r="J19" s="30">
        <f t="shared" si="3"/>
        <v>1.1070485566936639E-4</v>
      </c>
      <c r="K19" s="30">
        <f t="shared" si="8"/>
        <v>1.0074141865912342E-2</v>
      </c>
      <c r="L19" s="31">
        <f t="shared" si="4"/>
        <v>1.1450723316267221E-4</v>
      </c>
      <c r="M19" s="31">
        <f t="shared" si="5"/>
        <v>1.158034961865522E-4</v>
      </c>
      <c r="N19" s="32">
        <f t="shared" si="9"/>
        <v>5.2111573283948488E-3</v>
      </c>
    </row>
    <row r="20" spans="1:17">
      <c r="A20" s="28">
        <v>-11.81</v>
      </c>
      <c r="B20" s="28">
        <f t="shared" si="6"/>
        <v>0.98819000000000001</v>
      </c>
      <c r="C20" s="28">
        <f t="shared" si="0"/>
        <v>1.1230690179687178E-2</v>
      </c>
      <c r="D20" s="28">
        <f t="shared" si="1"/>
        <v>1.1105962555083823E-2</v>
      </c>
      <c r="E20" s="28">
        <f t="shared" si="7"/>
        <v>0.98889403744491622</v>
      </c>
      <c r="F20" s="28">
        <f t="shared" si="11"/>
        <v>1.0548944953911647E-4</v>
      </c>
      <c r="G20" s="28">
        <f t="shared" si="12"/>
        <v>1.0667416886411602E-4</v>
      </c>
      <c r="H20" s="28">
        <f t="shared" si="10"/>
        <v>1.2800900263693923E-2</v>
      </c>
      <c r="I20" s="29">
        <f t="shared" si="2"/>
        <v>1.0787219340480453E-4</v>
      </c>
      <c r="J20" s="30">
        <f t="shared" si="3"/>
        <v>1.0908367258793718E-4</v>
      </c>
      <c r="K20" s="30">
        <f t="shared" si="8"/>
        <v>9.9266142055022839E-3</v>
      </c>
      <c r="L20" s="31">
        <f t="shared" si="4"/>
        <v>1.12800357545329E-4</v>
      </c>
      <c r="M20" s="31">
        <f t="shared" si="5"/>
        <v>1.1406718341307853E-4</v>
      </c>
      <c r="N20" s="32">
        <f t="shared" si="9"/>
        <v>5.1330232535885334E-3</v>
      </c>
    </row>
    <row r="21" spans="1:17">
      <c r="A21" s="12"/>
      <c r="B21" s="12"/>
      <c r="C21" s="12"/>
      <c r="D21" s="12"/>
      <c r="E21" s="12"/>
      <c r="F21" s="12"/>
      <c r="G21" s="12"/>
      <c r="H21" s="12"/>
      <c r="J21" s="12"/>
      <c r="K21" s="12"/>
      <c r="L21" s="12"/>
      <c r="M21" s="12"/>
    </row>
    <row r="22" spans="1:17">
      <c r="A22" s="12"/>
      <c r="B22" s="12"/>
      <c r="C22" s="12"/>
      <c r="D22" s="12"/>
      <c r="E22" s="12"/>
      <c r="F22" s="12"/>
      <c r="G22" s="12"/>
      <c r="H22" s="12"/>
      <c r="I22" s="12"/>
      <c r="J22" s="12"/>
      <c r="L22" s="12"/>
      <c r="M22" s="12"/>
      <c r="N22" s="12"/>
      <c r="O22" s="12"/>
    </row>
    <row r="23" spans="1:17">
      <c r="A23" s="12"/>
      <c r="B23" s="12"/>
      <c r="C23" s="12"/>
      <c r="D23" s="12"/>
      <c r="E23" s="12"/>
      <c r="F23" s="12"/>
      <c r="G23" s="12"/>
      <c r="H23" s="12"/>
      <c r="I23" s="12"/>
      <c r="J23" s="12"/>
      <c r="L23" s="12"/>
      <c r="M23" s="12"/>
      <c r="N23" s="12"/>
      <c r="O23" s="12"/>
    </row>
    <row r="24" spans="1:17">
      <c r="A24" s="12"/>
      <c r="B24" s="12"/>
      <c r="C24" s="12"/>
      <c r="D24" s="12"/>
      <c r="E24" s="12"/>
      <c r="F24" s="121" t="s">
        <v>271</v>
      </c>
      <c r="G24" s="121"/>
      <c r="H24" s="121"/>
      <c r="I24" s="121"/>
      <c r="J24" s="122" t="s">
        <v>272</v>
      </c>
      <c r="K24" s="122"/>
      <c r="L24" s="122"/>
      <c r="M24" s="122"/>
      <c r="N24" s="123" t="s">
        <v>273</v>
      </c>
      <c r="O24" s="123"/>
      <c r="P24" s="123"/>
      <c r="Q24" s="123"/>
    </row>
    <row r="25" spans="1:17">
      <c r="A25" s="12"/>
      <c r="B25" s="12"/>
      <c r="C25" s="12"/>
      <c r="D25" s="12"/>
      <c r="E25" s="12"/>
      <c r="F25" s="121" t="s">
        <v>274</v>
      </c>
      <c r="G25" s="121"/>
      <c r="H25" s="121"/>
      <c r="I25" s="121"/>
      <c r="J25" s="124" t="s">
        <v>274</v>
      </c>
      <c r="K25" s="124"/>
      <c r="L25" s="124"/>
      <c r="M25" s="124"/>
      <c r="N25" s="123" t="s">
        <v>274</v>
      </c>
      <c r="O25" s="123"/>
      <c r="P25" s="123"/>
      <c r="Q25" s="123"/>
    </row>
    <row r="26" spans="1:17" ht="51">
      <c r="A26" s="37"/>
      <c r="B26" s="18" t="s">
        <v>108</v>
      </c>
      <c r="C26" s="26" t="s">
        <v>109</v>
      </c>
      <c r="D26" s="26" t="s">
        <v>279</v>
      </c>
      <c r="E26" s="26" t="s">
        <v>280</v>
      </c>
      <c r="F26" s="88" t="s">
        <v>110</v>
      </c>
      <c r="G26" s="89" t="s">
        <v>111</v>
      </c>
      <c r="H26" s="90" t="s">
        <v>112</v>
      </c>
      <c r="I26" s="88" t="s">
        <v>113</v>
      </c>
      <c r="J26" s="94" t="s">
        <v>110</v>
      </c>
      <c r="K26" s="93" t="s">
        <v>111</v>
      </c>
      <c r="L26" s="95" t="s">
        <v>112</v>
      </c>
      <c r="M26" s="94" t="s">
        <v>113</v>
      </c>
      <c r="N26" s="98" t="s">
        <v>110</v>
      </c>
      <c r="O26" s="99" t="s">
        <v>111</v>
      </c>
      <c r="P26" s="100" t="s">
        <v>112</v>
      </c>
      <c r="Q26" s="98" t="s">
        <v>113</v>
      </c>
    </row>
    <row r="27" spans="1:17" ht="17">
      <c r="A27" s="27" t="s">
        <v>114</v>
      </c>
      <c r="B27" s="33">
        <v>-24.4</v>
      </c>
      <c r="C27" s="33">
        <v>0.56000000000000005</v>
      </c>
      <c r="D27" s="11">
        <f>'[1]collated data - 4262022 - s (2)'!S109</f>
        <v>9.5019803987612048E-3</v>
      </c>
      <c r="E27" s="11">
        <f>'[1]collated data - 4262022 - s (2)'!T109</f>
        <v>4.5585766615958969E-3</v>
      </c>
      <c r="F27" s="91">
        <f>'gingko ash'!D43</f>
        <v>9.0473456200330024E-3</v>
      </c>
      <c r="G27" s="91">
        <f>'gingko ash'!E43</f>
        <v>4.670315317668078E-3</v>
      </c>
      <c r="H27" s="89">
        <f>$K$15-F27</f>
        <v>6.531382723354278E-4</v>
      </c>
      <c r="I27" s="91">
        <f>H27+F27</f>
        <v>9.7004838923684302E-3</v>
      </c>
      <c r="J27" s="96">
        <f>'cycads ash'!D42</f>
        <v>9.0564420720687221E-3</v>
      </c>
      <c r="K27" s="97">
        <f>'cycads ash'!E42</f>
        <v>5.4205939628872843E-3</v>
      </c>
      <c r="L27" s="93">
        <f>$K$15-J27</f>
        <v>6.4404182029970808E-4</v>
      </c>
      <c r="M27" s="97">
        <f>L27+J27</f>
        <v>9.7004838923684302E-3</v>
      </c>
      <c r="N27" s="101">
        <f>'marri ash'!D43</f>
        <v>8.9442669647833116E-3</v>
      </c>
      <c r="O27" s="101">
        <f>'marri ash'!E43</f>
        <v>5.5820653642759911E-3</v>
      </c>
      <c r="P27" s="99">
        <f>$K$15-N27</f>
        <v>7.5621692758511862E-4</v>
      </c>
      <c r="Q27" s="102">
        <f>P27+N27</f>
        <v>9.7004838923684302E-3</v>
      </c>
    </row>
    <row r="28" spans="1:17" ht="17">
      <c r="A28" s="27" t="s">
        <v>115</v>
      </c>
      <c r="B28" s="33">
        <v>-24.1</v>
      </c>
      <c r="C28" s="33">
        <v>0.46</v>
      </c>
      <c r="D28" s="12">
        <f>'[1]collated data - 4262022 - s (2)'!AD109</f>
        <v>9.5016990107643518E-3</v>
      </c>
      <c r="E28" s="11">
        <f>'[1]collated data - 4262022 - s (2)'!AE109</f>
        <v>4.3308090064732218E-3</v>
      </c>
      <c r="F28" s="92">
        <f>'gingko ash'!R43</f>
        <v>9.1757962203216116E-3</v>
      </c>
      <c r="G28" s="91">
        <f>'gingko ash'!S43</f>
        <v>4.0474858889137681E-3</v>
      </c>
      <c r="H28" s="89">
        <f>$K$15-F28</f>
        <v>5.2468767204681861E-4</v>
      </c>
      <c r="I28" s="91">
        <f t="shared" ref="I28:I30" si="13">H28+F28</f>
        <v>9.7004838923684302E-3</v>
      </c>
      <c r="J28" s="96" t="s">
        <v>270</v>
      </c>
      <c r="K28" s="97" t="s">
        <v>270</v>
      </c>
      <c r="L28" s="93" t="s">
        <v>270</v>
      </c>
      <c r="M28" s="97" t="s">
        <v>270</v>
      </c>
      <c r="N28" s="101" t="s">
        <v>270</v>
      </c>
      <c r="O28" s="101" t="s">
        <v>270</v>
      </c>
      <c r="P28" s="99" t="s">
        <v>270</v>
      </c>
      <c r="Q28" s="102" t="s">
        <v>270</v>
      </c>
    </row>
    <row r="29" spans="1:17" ht="17">
      <c r="A29" s="39" t="s">
        <v>116</v>
      </c>
      <c r="B29" s="33">
        <v>-24.2</v>
      </c>
      <c r="C29" s="33">
        <v>0.42</v>
      </c>
      <c r="D29" s="12">
        <f>'[1]collated data - 4262022 - s (2)'!AO109</f>
        <v>1.2243663544170075E-2</v>
      </c>
      <c r="E29" s="11">
        <f>'[1]collated data - 4262022 - s (2)'!AP109</f>
        <v>2.5481018425751612E-3</v>
      </c>
      <c r="F29" s="92">
        <f>'gingko ash'!AG43</f>
        <v>1.053450291921898E-2</v>
      </c>
      <c r="G29" s="91">
        <f>'gingko ash'!AH43</f>
        <v>4.3943408447307637E-3</v>
      </c>
      <c r="H29" s="89">
        <f>$H$17-F29</f>
        <v>1.9499940511821471E-3</v>
      </c>
      <c r="I29" s="91">
        <f t="shared" si="13"/>
        <v>1.2484496970401127E-2</v>
      </c>
      <c r="J29" s="96">
        <f>'cycads ash'!S42</f>
        <v>1.2090431735016421E-2</v>
      </c>
      <c r="K29" s="97">
        <f>'cycads ash'!T42</f>
        <v>4.7047471984000711E-3</v>
      </c>
      <c r="L29" s="93">
        <f>$H$17-J29</f>
        <v>3.9406523538470552E-4</v>
      </c>
      <c r="M29" s="97">
        <f t="shared" ref="M29:M30" si="14">L29+J29</f>
        <v>1.2484496970401127E-2</v>
      </c>
      <c r="N29" s="101">
        <f>'marri ash'!U43</f>
        <v>1.192610786149258E-2</v>
      </c>
      <c r="O29" s="101">
        <f>'marri ash'!V43</f>
        <v>5.4745038127714312E-3</v>
      </c>
      <c r="P29" s="99">
        <f>$H$17-N29</f>
        <v>5.5838910890854652E-4</v>
      </c>
      <c r="Q29" s="102">
        <f t="shared" ref="Q29:Q30" si="15">P29+N29</f>
        <v>1.2484496970401127E-2</v>
      </c>
    </row>
    <row r="30" spans="1:17" ht="17">
      <c r="A30" s="27" t="s">
        <v>276</v>
      </c>
      <c r="B30" s="33">
        <v>-25.2</v>
      </c>
      <c r="C30" s="33">
        <v>0.49</v>
      </c>
      <c r="D30" s="12">
        <f>'[1]collated data - 4262022 - s (2)'!AZ109</f>
        <v>1.2244172031591444E-2</v>
      </c>
      <c r="E30" s="11">
        <f>'[1]collated data - 4262022 - s (2)'!BA109</f>
        <v>2.3233953224474041E-3</v>
      </c>
      <c r="F30" s="92">
        <f>'gingko ash'!AV43</f>
        <v>1.1798140540446809E-2</v>
      </c>
      <c r="G30" s="91">
        <f>'gingko ash'!AW43</f>
        <v>5.0776887323153441E-3</v>
      </c>
      <c r="H30" s="89">
        <f>$H$17-F30</f>
        <v>6.8635642995431775E-4</v>
      </c>
      <c r="I30" s="91">
        <f t="shared" si="13"/>
        <v>1.2484496970401127E-2</v>
      </c>
      <c r="J30" s="96">
        <f>'cycads ash'!AH42</f>
        <v>1.2088260387041246E-2</v>
      </c>
      <c r="K30" s="97">
        <f>'cycads ash'!AI42</f>
        <v>4.6163861269762282E-3</v>
      </c>
      <c r="L30" s="93">
        <f>$H$17-J30</f>
        <v>3.962365833598807E-4</v>
      </c>
      <c r="M30" s="97">
        <f t="shared" si="14"/>
        <v>1.2484496970401127E-2</v>
      </c>
      <c r="N30" s="101">
        <f>'marri ash'!AJ43</f>
        <v>1.2002765123692064E-2</v>
      </c>
      <c r="O30" s="101">
        <f>'marri ash'!AK43</f>
        <v>5.7300658739400075E-3</v>
      </c>
      <c r="P30" s="99">
        <f>$H$17-N30</f>
        <v>4.8173184670906311E-4</v>
      </c>
      <c r="Q30" s="102">
        <f t="shared" si="15"/>
        <v>1.2484496970401127E-2</v>
      </c>
    </row>
    <row r="31" spans="1:17">
      <c r="A31" s="18"/>
      <c r="B31" s="40"/>
      <c r="L31" s="12"/>
      <c r="M31" s="12"/>
      <c r="N31" s="12"/>
      <c r="O31" s="12"/>
    </row>
    <row r="32" spans="1:17">
      <c r="B32" s="12"/>
      <c r="C32" s="12"/>
      <c r="D32" s="12"/>
      <c r="E32" s="12"/>
      <c r="F32" s="121" t="s">
        <v>275</v>
      </c>
      <c r="G32" s="121"/>
      <c r="H32" s="121"/>
      <c r="I32" s="121"/>
      <c r="J32" s="124" t="s">
        <v>275</v>
      </c>
      <c r="K32" s="124"/>
      <c r="L32" s="124"/>
      <c r="M32" s="124"/>
      <c r="N32" s="123" t="s">
        <v>275</v>
      </c>
      <c r="O32" s="123"/>
      <c r="P32" s="123"/>
      <c r="Q32" s="123"/>
    </row>
    <row r="33" spans="1:21" ht="34">
      <c r="F33" s="88" t="s">
        <v>267</v>
      </c>
      <c r="G33" s="89" t="s">
        <v>277</v>
      </c>
      <c r="H33" s="90" t="s">
        <v>278</v>
      </c>
      <c r="I33" s="88" t="s">
        <v>269</v>
      </c>
      <c r="J33" s="94" t="s">
        <v>267</v>
      </c>
      <c r="K33" s="93" t="s">
        <v>277</v>
      </c>
      <c r="L33" s="95" t="s">
        <v>278</v>
      </c>
      <c r="M33" s="94" t="s">
        <v>269</v>
      </c>
      <c r="N33" s="98" t="s">
        <v>267</v>
      </c>
      <c r="O33" s="99" t="s">
        <v>277</v>
      </c>
      <c r="P33" s="100" t="s">
        <v>278</v>
      </c>
      <c r="Q33" s="98" t="s">
        <v>269</v>
      </c>
      <c r="R33" s="27"/>
      <c r="S33" s="27"/>
    </row>
    <row r="34" spans="1:21" s="27" customFormat="1" ht="16" customHeight="1">
      <c r="A34" s="118" t="s">
        <v>114</v>
      </c>
      <c r="B34" s="118"/>
      <c r="C34" s="118"/>
      <c r="D34" s="118"/>
      <c r="E34" s="118"/>
      <c r="F34" s="106">
        <f>'gingko ash'!D17</f>
        <v>-28.113838899445188</v>
      </c>
      <c r="G34" s="106">
        <f>'gingko ash'!D41</f>
        <v>8.9418956522404457E-3</v>
      </c>
      <c r="H34" s="106">
        <f>G34+H27</f>
        <v>9.5950339245758735E-3</v>
      </c>
      <c r="I34" s="106">
        <f>'gingko ash'!F45</f>
        <v>-4.0419027975449051</v>
      </c>
      <c r="J34" s="107">
        <f>'cycads ash'!D16</f>
        <v>-31.784288811670613</v>
      </c>
      <c r="K34" s="97">
        <f>'cycads ash'!D40</f>
        <v>8.879469797475904E-3</v>
      </c>
      <c r="L34" s="108">
        <f>K34+L27</f>
        <v>9.523511617775612E-3</v>
      </c>
      <c r="M34" s="108">
        <f>'cycads ash'!F44</f>
        <v>-4.4030941058815785</v>
      </c>
      <c r="N34" s="109">
        <f>'marri ash'!D16</f>
        <v>-21.311877122206504</v>
      </c>
      <c r="O34" s="109">
        <f>'marri ash'!D41</f>
        <v>8.8836277848441669E-3</v>
      </c>
      <c r="P34" s="110">
        <f>O34+P27</f>
        <v>9.6398447124292855E-3</v>
      </c>
      <c r="Q34" s="110">
        <f>'marri ash'!F45</f>
        <v>-13.110385377242185</v>
      </c>
    </row>
    <row r="35" spans="1:21" s="27" customFormat="1" ht="17" customHeight="1">
      <c r="A35" s="118" t="s">
        <v>115</v>
      </c>
      <c r="B35" s="118"/>
      <c r="C35" s="118"/>
      <c r="D35" s="118"/>
      <c r="E35" s="118"/>
      <c r="F35" s="106">
        <f>'gingko ash'!R17</f>
        <v>-24.083980533661897</v>
      </c>
      <c r="G35" s="106">
        <f>'gingko ash'!R41</f>
        <v>9.1522332865316466E-3</v>
      </c>
      <c r="H35" s="106">
        <f>G35+H28</f>
        <v>9.6769209585784652E-3</v>
      </c>
      <c r="I35" s="106">
        <f>'gingko ash'!T45</f>
        <v>-2.6007744595186733</v>
      </c>
      <c r="J35" s="96" t="s">
        <v>270</v>
      </c>
      <c r="K35" s="97" t="s">
        <v>270</v>
      </c>
      <c r="L35" s="97" t="s">
        <v>270</v>
      </c>
      <c r="M35" s="97" t="s">
        <v>270</v>
      </c>
      <c r="N35" s="101" t="s">
        <v>270</v>
      </c>
      <c r="O35" s="101" t="s">
        <v>270</v>
      </c>
      <c r="P35" s="102" t="s">
        <v>270</v>
      </c>
      <c r="Q35" s="102" t="s">
        <v>270</v>
      </c>
    </row>
    <row r="36" spans="1:21" ht="17" customHeight="1">
      <c r="A36" s="120" t="s">
        <v>116</v>
      </c>
      <c r="B36" s="120"/>
      <c r="C36" s="120"/>
      <c r="D36" s="120"/>
      <c r="E36" s="120"/>
      <c r="F36" s="91">
        <f>'gingko ash'!AG17</f>
        <v>-24.183982175168815</v>
      </c>
      <c r="G36" s="91">
        <f>'gingko ash'!AG41</f>
        <v>1.0435580967349057E-2</v>
      </c>
      <c r="H36" s="91">
        <f>G36+H29</f>
        <v>1.2385575018531204E-2</v>
      </c>
      <c r="I36" s="91">
        <f>'gingko ash'!AI45</f>
        <v>-9.4231120183410066</v>
      </c>
      <c r="J36" s="97">
        <f>'cycads ash'!S16</f>
        <v>-29.319628255334074</v>
      </c>
      <c r="K36" s="108">
        <f>'cycads ash'!S40</f>
        <v>1.1994022713677253E-2</v>
      </c>
      <c r="L36" s="97">
        <f>K36+L29</f>
        <v>1.2388087949061958E-2</v>
      </c>
      <c r="M36" s="96">
        <f>'cycads ash'!U44</f>
        <v>2.5191984766801401</v>
      </c>
      <c r="N36" s="101">
        <f>'marri ash'!U16</f>
        <v>-27.318963093897473</v>
      </c>
      <c r="O36" s="101">
        <f>'marri ash'!U41</f>
        <v>1.19192251780271E-2</v>
      </c>
      <c r="P36" s="102">
        <f>O36+P29</f>
        <v>1.2477614286935647E-2</v>
      </c>
      <c r="Q36" s="102">
        <f>'marri ash'!W45</f>
        <v>5.8155171631461</v>
      </c>
    </row>
    <row r="37" spans="1:21" ht="17" customHeight="1">
      <c r="A37" s="118" t="s">
        <v>276</v>
      </c>
      <c r="B37" s="118"/>
      <c r="C37" s="118"/>
      <c r="D37" s="118"/>
      <c r="E37" s="118"/>
      <c r="F37" s="91">
        <f>'gingko ash'!AV17</f>
        <v>-30.37864761660547</v>
      </c>
      <c r="G37" s="91">
        <f>'gingko ash'!AV41</f>
        <v>1.1774104904304732E-2</v>
      </c>
      <c r="H37" s="91">
        <f>G37+H30</f>
        <v>1.246046133425905E-2</v>
      </c>
      <c r="I37" s="91">
        <f>'gingko ash'!AX45</f>
        <v>8.5878070545684082</v>
      </c>
      <c r="J37" s="97">
        <f>'cycads ash'!AH16</f>
        <v>-31.708480676065577</v>
      </c>
      <c r="K37" s="108">
        <f>'cycads ash'!AH40</f>
        <v>1.198181643161675E-2</v>
      </c>
      <c r="L37" s="96">
        <f>K37+L30</f>
        <v>1.2378053014976631E-2</v>
      </c>
      <c r="M37" s="96">
        <f>'cycads ash'!AJ44</f>
        <v>4.5479043565355148</v>
      </c>
      <c r="N37" s="101">
        <f>'marri ash'!AJ16</f>
        <v>-33.103046723823361</v>
      </c>
      <c r="O37" s="101">
        <f>'marri ash'!AJ41</f>
        <v>1.1743364388540092E-2</v>
      </c>
      <c r="P37" s="102">
        <f>O37+P30</f>
        <v>1.2225096235249155E-2</v>
      </c>
      <c r="Q37" s="102">
        <f>'marri ash'!AL45</f>
        <v>-5.3970440114813343</v>
      </c>
    </row>
    <row r="38" spans="1:21">
      <c r="K38" s="12"/>
      <c r="L38" s="12"/>
      <c r="M38" s="12"/>
      <c r="N38" s="12"/>
      <c r="O38" s="12"/>
    </row>
    <row r="39" spans="1:21" ht="17" thickBo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</row>
    <row r="40" spans="1:21">
      <c r="A40" s="103"/>
      <c r="B40" s="103"/>
      <c r="C40" s="103"/>
      <c r="D40" s="103"/>
      <c r="E40" s="103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25"/>
      <c r="T40" s="125"/>
      <c r="U40" s="126"/>
    </row>
    <row r="41" spans="1:21">
      <c r="A41" s="104"/>
      <c r="B41" s="81"/>
      <c r="C41" s="104"/>
      <c r="D41" s="104"/>
      <c r="E41" s="104"/>
      <c r="F41" s="81"/>
      <c r="G41" s="105"/>
      <c r="H41" s="81"/>
      <c r="I41" s="105"/>
      <c r="J41" s="81"/>
      <c r="K41" s="105"/>
      <c r="L41" s="81"/>
      <c r="M41" s="105"/>
      <c r="N41" s="81"/>
      <c r="O41" s="105"/>
      <c r="P41" s="81"/>
      <c r="Q41" s="105"/>
      <c r="R41" s="81"/>
      <c r="S41" s="83" t="s">
        <v>268</v>
      </c>
      <c r="T41" s="79" t="s">
        <v>269</v>
      </c>
      <c r="U41" s="82" t="s">
        <v>268</v>
      </c>
    </row>
    <row r="42" spans="1:21">
      <c r="A42" s="41"/>
      <c r="B42" s="20"/>
      <c r="C42" s="26"/>
      <c r="D42" s="26"/>
      <c r="E42" s="26"/>
      <c r="F42" s="20"/>
      <c r="G42" s="26"/>
      <c r="H42" s="18"/>
      <c r="I42" s="38"/>
      <c r="J42" s="20"/>
      <c r="K42" s="84"/>
      <c r="L42" s="80"/>
      <c r="M42" s="84"/>
      <c r="N42" s="80"/>
      <c r="O42" s="84"/>
      <c r="P42" s="80"/>
      <c r="Q42" s="84"/>
      <c r="R42" s="80"/>
      <c r="S42" s="85">
        <f>'gingko ash'!AW55</f>
        <v>0</v>
      </c>
      <c r="T42" s="86">
        <f>'gingko ash'!AX83</f>
        <v>0</v>
      </c>
      <c r="U42" s="87">
        <f>'gingko ash'!AW83</f>
        <v>0</v>
      </c>
    </row>
    <row r="43" spans="1:21">
      <c r="A43" s="27"/>
      <c r="B43" s="39"/>
      <c r="C43" s="39"/>
      <c r="D43" s="39"/>
      <c r="E43" s="39"/>
      <c r="F43" s="27"/>
      <c r="G43" s="27"/>
      <c r="H43" s="39"/>
      <c r="I43" s="39"/>
      <c r="J43" s="39"/>
      <c r="K43" s="84"/>
      <c r="L43" s="80"/>
      <c r="M43" s="84"/>
      <c r="N43" s="80"/>
      <c r="O43" s="84"/>
      <c r="P43" s="80"/>
      <c r="Q43" s="84"/>
      <c r="R43" s="80"/>
      <c r="S43" s="85">
        <f>'gingko ash'!AW56</f>
        <v>0</v>
      </c>
      <c r="T43" s="86" t="s">
        <v>270</v>
      </c>
      <c r="U43" s="87" t="s">
        <v>270</v>
      </c>
    </row>
    <row r="44" spans="1:21">
      <c r="A44" s="27"/>
      <c r="B44" s="39"/>
      <c r="C44" s="39"/>
      <c r="D44" s="39"/>
      <c r="E44" s="39"/>
      <c r="F44" s="27"/>
      <c r="G44" s="27"/>
      <c r="H44" s="39"/>
      <c r="I44" s="39"/>
      <c r="J44" s="39"/>
      <c r="K44" s="84"/>
      <c r="L44" s="80"/>
      <c r="M44" s="84"/>
      <c r="N44" s="80"/>
      <c r="O44" s="84"/>
      <c r="P44" s="80"/>
      <c r="Q44" s="84"/>
      <c r="R44" s="80"/>
      <c r="S44" s="85">
        <f>'cycads ash'!AI54</f>
        <v>0</v>
      </c>
      <c r="T44" s="86">
        <f>'cycads ash'!AJ82</f>
        <v>0</v>
      </c>
      <c r="U44" s="87">
        <f>'cycads ash'!AI82</f>
        <v>0</v>
      </c>
    </row>
    <row r="45" spans="1:21">
      <c r="A45" s="12"/>
      <c r="B45" s="12"/>
      <c r="C45" s="12"/>
      <c r="D45" s="12"/>
      <c r="E45" s="12"/>
      <c r="H45" s="12"/>
      <c r="I45" s="12"/>
      <c r="J45" s="12"/>
      <c r="K45" s="84"/>
      <c r="L45" s="80"/>
      <c r="M45" s="84"/>
      <c r="N45" s="80"/>
      <c r="O45" s="84"/>
      <c r="P45" s="80"/>
      <c r="Q45" s="84"/>
      <c r="R45" s="80"/>
      <c r="S45" s="85">
        <f>'cycads ash'!AI55</f>
        <v>0</v>
      </c>
      <c r="T45" s="86" t="s">
        <v>270</v>
      </c>
      <c r="U45" s="87" t="s">
        <v>270</v>
      </c>
    </row>
    <row r="46" spans="1:21">
      <c r="B46" s="12"/>
      <c r="C46" s="12"/>
      <c r="D46" s="12"/>
      <c r="E46" s="12"/>
      <c r="H46" s="12"/>
      <c r="I46" s="12"/>
      <c r="J46" s="12"/>
      <c r="K46" s="84"/>
      <c r="L46" s="80"/>
      <c r="M46" s="84"/>
      <c r="N46" s="80"/>
      <c r="O46" s="84"/>
      <c r="P46" s="80"/>
      <c r="Q46" s="84"/>
      <c r="R46" s="80"/>
      <c r="S46" s="85">
        <f>'marri ash'!AK54</f>
        <v>0</v>
      </c>
      <c r="T46" s="86">
        <f>'marri ash'!AL83</f>
        <v>0</v>
      </c>
      <c r="U46" s="87">
        <f>'marri ash'!AK83</f>
        <v>0</v>
      </c>
    </row>
    <row r="47" spans="1:2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84"/>
      <c r="L47" s="80"/>
      <c r="M47" s="84"/>
      <c r="N47" s="80"/>
      <c r="O47" s="84"/>
      <c r="P47" s="80"/>
      <c r="Q47" s="84"/>
      <c r="R47" s="80"/>
      <c r="S47" s="85">
        <f>'marri ash'!AK55</f>
        <v>0</v>
      </c>
      <c r="T47" s="86" t="s">
        <v>270</v>
      </c>
      <c r="U47" s="87" t="s">
        <v>270</v>
      </c>
    </row>
    <row r="48" spans="1:2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</row>
    <row r="49" spans="2:15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0" spans="2:15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</row>
    <row r="51" spans="2:15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2:15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</row>
  </sheetData>
  <mergeCells count="17">
    <mergeCell ref="N32:Q32"/>
    <mergeCell ref="R40:U40"/>
    <mergeCell ref="F24:I24"/>
    <mergeCell ref="J24:M24"/>
    <mergeCell ref="N24:Q24"/>
    <mergeCell ref="F40:I40"/>
    <mergeCell ref="J40:M40"/>
    <mergeCell ref="N40:Q40"/>
    <mergeCell ref="F25:I25"/>
    <mergeCell ref="J25:M25"/>
    <mergeCell ref="N25:Q25"/>
    <mergeCell ref="F32:I32"/>
    <mergeCell ref="A34:E34"/>
    <mergeCell ref="A35:E35"/>
    <mergeCell ref="A36:E36"/>
    <mergeCell ref="A37:E37"/>
    <mergeCell ref="J32:M3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9C90-2513-9B48-9B2B-8D47D51A5567}">
  <dimension ref="A1:N32"/>
  <sheetViews>
    <sheetView workbookViewId="0">
      <selection activeCell="L31" sqref="L31"/>
    </sheetView>
  </sheetViews>
  <sheetFormatPr baseColWidth="10" defaultRowHeight="16"/>
  <cols>
    <col min="1" max="1" width="18.6640625" bestFit="1" customWidth="1"/>
    <col min="2" max="2" width="14.6640625" bestFit="1" customWidth="1"/>
    <col min="3" max="3" width="3.6640625" bestFit="1" customWidth="1"/>
    <col min="4" max="4" width="14" bestFit="1" customWidth="1"/>
    <col min="5" max="5" width="5.83203125" bestFit="1" customWidth="1"/>
    <col min="6" max="6" width="4.1640625" bestFit="1" customWidth="1"/>
    <col min="7" max="7" width="5.83203125" bestFit="1" customWidth="1"/>
    <col min="8" max="8" width="4.1640625" bestFit="1" customWidth="1"/>
    <col min="9" max="9" width="5.83203125" bestFit="1" customWidth="1"/>
    <col min="10" max="10" width="4.1640625" bestFit="1" customWidth="1"/>
    <col min="11" max="11" width="5.83203125" bestFit="1" customWidth="1"/>
    <col min="12" max="12" width="4.1640625" bestFit="1" customWidth="1"/>
    <col min="13" max="13" width="5.83203125" bestFit="1" customWidth="1"/>
    <col min="14" max="14" width="4.1640625" bestFit="1" customWidth="1"/>
  </cols>
  <sheetData>
    <row r="1" spans="1:14">
      <c r="E1" s="127" t="s">
        <v>130</v>
      </c>
      <c r="F1" s="128"/>
      <c r="G1" s="128"/>
      <c r="H1" s="128"/>
      <c r="I1" s="128"/>
      <c r="J1" s="128"/>
      <c r="K1" s="128"/>
      <c r="L1" s="128"/>
      <c r="M1" s="128"/>
      <c r="N1" s="129"/>
    </row>
    <row r="2" spans="1:14" ht="49">
      <c r="A2" s="57" t="s">
        <v>131</v>
      </c>
      <c r="B2" s="57" t="s">
        <v>132</v>
      </c>
      <c r="C2" s="57" t="s">
        <v>133</v>
      </c>
      <c r="D2" s="57" t="s">
        <v>134</v>
      </c>
      <c r="E2" s="58" t="s">
        <v>135</v>
      </c>
      <c r="F2" s="59" t="s">
        <v>136</v>
      </c>
      <c r="G2" s="59" t="s">
        <v>137</v>
      </c>
      <c r="H2" s="59" t="s">
        <v>138</v>
      </c>
      <c r="I2" s="59" t="s">
        <v>139</v>
      </c>
      <c r="J2" s="59" t="s">
        <v>140</v>
      </c>
      <c r="K2" s="59" t="s">
        <v>141</v>
      </c>
      <c r="L2" s="59" t="s">
        <v>142</v>
      </c>
      <c r="M2" s="59" t="s">
        <v>143</v>
      </c>
      <c r="N2" s="60" t="s">
        <v>144</v>
      </c>
    </row>
    <row r="3" spans="1:14">
      <c r="A3" s="61" t="s">
        <v>145</v>
      </c>
      <c r="B3" s="61" t="s">
        <v>146</v>
      </c>
      <c r="C3" s="61" t="s">
        <v>147</v>
      </c>
      <c r="D3" s="61" t="s">
        <v>148</v>
      </c>
      <c r="E3" s="61">
        <v>-29.7</v>
      </c>
      <c r="F3" s="61">
        <v>0.2</v>
      </c>
      <c r="G3" s="61">
        <v>-30.3</v>
      </c>
      <c r="H3" s="61">
        <v>0.9</v>
      </c>
      <c r="I3" s="61">
        <v>-29.4</v>
      </c>
      <c r="J3" s="61">
        <v>0.4</v>
      </c>
      <c r="K3" s="61">
        <v>-28.9</v>
      </c>
      <c r="L3" s="61">
        <v>0.2</v>
      </c>
      <c r="M3" s="61">
        <v>-29</v>
      </c>
      <c r="N3" s="61">
        <v>0.1</v>
      </c>
    </row>
    <row r="4" spans="1:14">
      <c r="A4" s="61" t="s">
        <v>149</v>
      </c>
      <c r="B4" s="61" t="s">
        <v>146</v>
      </c>
      <c r="C4" s="61" t="s">
        <v>147</v>
      </c>
      <c r="D4" s="61" t="s">
        <v>148</v>
      </c>
      <c r="E4" s="61">
        <v>-27.6</v>
      </c>
      <c r="F4" s="61">
        <v>0.1</v>
      </c>
      <c r="G4" s="61">
        <v>-28.7</v>
      </c>
      <c r="H4" s="61">
        <v>0.1</v>
      </c>
      <c r="I4" s="61">
        <v>-28.4</v>
      </c>
      <c r="J4" s="61">
        <v>0.1</v>
      </c>
      <c r="K4" s="61">
        <v>28.1</v>
      </c>
      <c r="L4" s="61">
        <v>0.1</v>
      </c>
      <c r="M4" s="61">
        <v>-30</v>
      </c>
      <c r="N4" s="61">
        <v>0.3</v>
      </c>
    </row>
    <row r="5" spans="1:14">
      <c r="A5" s="61" t="s">
        <v>150</v>
      </c>
      <c r="B5" s="61" t="s">
        <v>151</v>
      </c>
      <c r="C5" s="61" t="s">
        <v>147</v>
      </c>
      <c r="D5" s="61" t="s">
        <v>148</v>
      </c>
      <c r="E5" s="61" t="s">
        <v>152</v>
      </c>
      <c r="F5" s="61" t="s">
        <v>152</v>
      </c>
      <c r="G5" s="61">
        <v>-30</v>
      </c>
      <c r="H5" s="61">
        <v>0.4</v>
      </c>
      <c r="I5" s="61">
        <v>-27.8</v>
      </c>
      <c r="J5" s="61">
        <v>0.2</v>
      </c>
      <c r="K5" s="61">
        <v>-27.1</v>
      </c>
      <c r="L5" s="61">
        <v>0.3</v>
      </c>
      <c r="M5" s="61">
        <v>-27.7</v>
      </c>
      <c r="N5" s="61">
        <v>0.8</v>
      </c>
    </row>
    <row r="6" spans="1:14">
      <c r="A6" s="61" t="s">
        <v>153</v>
      </c>
      <c r="B6" s="61" t="s">
        <v>154</v>
      </c>
      <c r="C6" s="61" t="s">
        <v>147</v>
      </c>
      <c r="D6" s="61" t="s">
        <v>148</v>
      </c>
      <c r="E6" s="61">
        <v>-26.3</v>
      </c>
      <c r="F6" s="61">
        <v>0.1</v>
      </c>
      <c r="G6" s="61">
        <v>-27.3</v>
      </c>
      <c r="H6" s="61">
        <v>0.4</v>
      </c>
      <c r="I6" s="61">
        <v>-26.9</v>
      </c>
      <c r="J6" s="61">
        <v>0.2</v>
      </c>
      <c r="K6" s="61">
        <v>-26.9</v>
      </c>
      <c r="L6" s="61">
        <v>0.4</v>
      </c>
      <c r="M6" s="61">
        <v>-26.6</v>
      </c>
      <c r="N6" s="61">
        <v>0.6</v>
      </c>
    </row>
    <row r="7" spans="1:14">
      <c r="A7" s="61" t="s">
        <v>155</v>
      </c>
      <c r="B7" s="61" t="s">
        <v>151</v>
      </c>
      <c r="C7" s="61" t="s">
        <v>147</v>
      </c>
      <c r="D7" s="61" t="s">
        <v>148</v>
      </c>
      <c r="E7" s="61">
        <v>-25.3</v>
      </c>
      <c r="F7" s="61">
        <v>0.2</v>
      </c>
      <c r="G7" s="61">
        <v>-26.3</v>
      </c>
      <c r="H7" s="61">
        <v>0.1</v>
      </c>
      <c r="I7" s="61">
        <v>-26.3</v>
      </c>
      <c r="J7" s="61">
        <v>0.2</v>
      </c>
      <c r="K7" s="61" t="s">
        <v>152</v>
      </c>
      <c r="L7" s="61" t="s">
        <v>152</v>
      </c>
      <c r="M7" s="61" t="s">
        <v>152</v>
      </c>
      <c r="N7" s="61" t="s">
        <v>152</v>
      </c>
    </row>
    <row r="8" spans="1:14">
      <c r="A8" s="61" t="s">
        <v>156</v>
      </c>
      <c r="B8" s="61" t="s">
        <v>151</v>
      </c>
      <c r="C8" s="61" t="s">
        <v>147</v>
      </c>
      <c r="D8" s="61" t="s">
        <v>148</v>
      </c>
      <c r="E8" s="61">
        <v>-25.5</v>
      </c>
      <c r="F8" s="61">
        <v>0.3</v>
      </c>
      <c r="G8" s="61">
        <v>-26.8</v>
      </c>
      <c r="H8" s="61">
        <v>0.3</v>
      </c>
      <c r="I8" s="61">
        <v>-26</v>
      </c>
      <c r="J8" s="61">
        <v>0.2</v>
      </c>
      <c r="K8" s="61">
        <v>-25.9</v>
      </c>
      <c r="L8" s="61">
        <v>0.4</v>
      </c>
      <c r="M8" s="61">
        <v>-26.7</v>
      </c>
      <c r="N8" s="61">
        <v>0.6</v>
      </c>
    </row>
    <row r="9" spans="1:14">
      <c r="A9" s="61" t="s">
        <v>157</v>
      </c>
      <c r="B9" s="61" t="s">
        <v>154</v>
      </c>
      <c r="C9" s="61" t="s">
        <v>147</v>
      </c>
      <c r="D9" s="61" t="s">
        <v>148</v>
      </c>
      <c r="E9" s="61">
        <v>-24.9</v>
      </c>
      <c r="F9" s="61">
        <v>0.1</v>
      </c>
      <c r="G9" s="61">
        <v>-25.8</v>
      </c>
      <c r="H9" s="61">
        <v>0.5</v>
      </c>
      <c r="I9" s="61">
        <v>-24.7</v>
      </c>
      <c r="J9" s="61">
        <v>0.2</v>
      </c>
      <c r="K9" s="61">
        <v>-24.4</v>
      </c>
      <c r="L9" s="61">
        <v>0.2</v>
      </c>
      <c r="M9" s="61">
        <v>-25</v>
      </c>
      <c r="N9" s="61">
        <v>0.3</v>
      </c>
    </row>
    <row r="10" spans="1:14">
      <c r="A10" s="61" t="s">
        <v>158</v>
      </c>
      <c r="B10" s="61" t="s">
        <v>154</v>
      </c>
      <c r="C10" s="61" t="s">
        <v>147</v>
      </c>
      <c r="D10" s="61" t="s">
        <v>148</v>
      </c>
      <c r="E10" s="61">
        <v>-24.4</v>
      </c>
      <c r="F10" s="61">
        <v>0.3</v>
      </c>
      <c r="G10" s="61">
        <v>-25.8</v>
      </c>
      <c r="H10" s="61">
        <v>0.3</v>
      </c>
      <c r="I10" s="61">
        <v>-25</v>
      </c>
      <c r="J10" s="61">
        <v>0.3</v>
      </c>
      <c r="K10" s="61">
        <v>-24.1</v>
      </c>
      <c r="L10" s="61">
        <v>0.2</v>
      </c>
      <c r="M10" s="61">
        <v>-24.8</v>
      </c>
      <c r="N10" s="61">
        <v>0.2</v>
      </c>
    </row>
    <row r="11" spans="1:14">
      <c r="A11" s="61" t="s">
        <v>159</v>
      </c>
      <c r="B11" s="61" t="s">
        <v>146</v>
      </c>
      <c r="C11" s="61" t="s">
        <v>147</v>
      </c>
      <c r="D11" s="61" t="s">
        <v>148</v>
      </c>
      <c r="E11" s="61">
        <v>-28.2</v>
      </c>
      <c r="F11" s="61">
        <v>0.1</v>
      </c>
      <c r="G11" s="61">
        <v>-31.3</v>
      </c>
      <c r="H11" s="61">
        <v>0.4</v>
      </c>
      <c r="I11" s="61">
        <v>-30.4</v>
      </c>
      <c r="J11" s="61">
        <v>0.3</v>
      </c>
      <c r="K11" s="61">
        <v>-29.4</v>
      </c>
      <c r="L11" s="61">
        <v>0.2</v>
      </c>
      <c r="M11" s="61">
        <v>-29.8</v>
      </c>
      <c r="N11" s="61">
        <v>0.5</v>
      </c>
    </row>
    <row r="12" spans="1:14">
      <c r="A12" s="61" t="s">
        <v>160</v>
      </c>
      <c r="B12" s="61" t="s">
        <v>146</v>
      </c>
      <c r="C12" s="61" t="s">
        <v>147</v>
      </c>
      <c r="D12" s="61" t="s">
        <v>148</v>
      </c>
      <c r="E12" s="61" t="s">
        <v>152</v>
      </c>
      <c r="F12" s="61" t="s">
        <v>152</v>
      </c>
      <c r="G12" s="61">
        <v>-29.6</v>
      </c>
      <c r="H12" s="61">
        <v>0.1</v>
      </c>
      <c r="I12" s="61">
        <v>-28.7</v>
      </c>
      <c r="J12" s="61">
        <v>0.1</v>
      </c>
      <c r="K12" s="61">
        <v>-28.7</v>
      </c>
      <c r="L12" s="61">
        <v>0.3</v>
      </c>
      <c r="M12" s="61">
        <v>-29.1</v>
      </c>
      <c r="N12" s="61">
        <v>0.4</v>
      </c>
    </row>
    <row r="13" spans="1:14">
      <c r="A13" s="61" t="s">
        <v>161</v>
      </c>
      <c r="B13" s="61" t="s">
        <v>146</v>
      </c>
      <c r="C13" s="61" t="s">
        <v>147</v>
      </c>
      <c r="D13" s="61" t="s">
        <v>148</v>
      </c>
      <c r="E13" s="61" t="s">
        <v>152</v>
      </c>
      <c r="F13" s="61" t="s">
        <v>152</v>
      </c>
      <c r="G13" s="61">
        <v>-30.3</v>
      </c>
      <c r="H13" s="61">
        <v>0.7</v>
      </c>
      <c r="I13" s="61">
        <v>-29</v>
      </c>
      <c r="J13" s="61">
        <v>0.4</v>
      </c>
      <c r="K13" s="61">
        <v>-28.7</v>
      </c>
      <c r="L13" s="61">
        <v>0.3</v>
      </c>
      <c r="M13" s="61">
        <v>29.4</v>
      </c>
      <c r="N13" s="61">
        <v>0.4</v>
      </c>
    </row>
    <row r="14" spans="1:14">
      <c r="A14" s="61" t="s">
        <v>162</v>
      </c>
      <c r="B14" s="61" t="s">
        <v>151</v>
      </c>
      <c r="C14" s="61" t="s">
        <v>147</v>
      </c>
      <c r="D14" s="61" t="s">
        <v>148</v>
      </c>
      <c r="E14" s="61">
        <v>-27.7</v>
      </c>
      <c r="F14" s="61">
        <v>0.8</v>
      </c>
      <c r="G14" s="61" t="s">
        <v>152</v>
      </c>
      <c r="H14" s="61" t="s">
        <v>152</v>
      </c>
      <c r="I14" s="61">
        <v>-27.7</v>
      </c>
      <c r="J14" s="61">
        <v>0.1</v>
      </c>
      <c r="K14" s="61">
        <v>-27.5</v>
      </c>
      <c r="L14" s="61">
        <v>0.4</v>
      </c>
      <c r="M14" s="61">
        <v>-28.3</v>
      </c>
      <c r="N14" s="61">
        <v>0.2</v>
      </c>
    </row>
    <row r="15" spans="1:14">
      <c r="A15" s="61" t="s">
        <v>163</v>
      </c>
      <c r="B15" s="61" t="s">
        <v>151</v>
      </c>
      <c r="C15" s="61" t="s">
        <v>147</v>
      </c>
      <c r="D15" s="61" t="s">
        <v>148</v>
      </c>
      <c r="E15" s="61">
        <v>-28.8</v>
      </c>
      <c r="F15" s="61">
        <v>0.4</v>
      </c>
      <c r="G15" s="61" t="s">
        <v>152</v>
      </c>
      <c r="H15" s="61" t="s">
        <v>152</v>
      </c>
      <c r="I15" s="61" t="s">
        <v>152</v>
      </c>
      <c r="J15" s="61" t="s">
        <v>152</v>
      </c>
      <c r="K15" s="61">
        <v>-28.3</v>
      </c>
      <c r="L15" s="61">
        <v>0.5</v>
      </c>
      <c r="M15" s="61">
        <v>-30</v>
      </c>
      <c r="N15" s="61">
        <v>0.7</v>
      </c>
    </row>
    <row r="16" spans="1:14">
      <c r="A16" s="61" t="s">
        <v>164</v>
      </c>
      <c r="B16" s="61" t="s">
        <v>165</v>
      </c>
      <c r="C16" s="61" t="s">
        <v>147</v>
      </c>
      <c r="D16" s="61" t="s">
        <v>148</v>
      </c>
      <c r="E16" s="61">
        <v>-32</v>
      </c>
      <c r="F16" s="61">
        <v>0.1</v>
      </c>
      <c r="G16" s="61">
        <v>-31.4</v>
      </c>
      <c r="H16" s="61">
        <v>0.1</v>
      </c>
      <c r="I16" s="61">
        <v>-30.2</v>
      </c>
      <c r="J16" s="61">
        <v>0.2</v>
      </c>
      <c r="K16" s="61">
        <v>-31.7</v>
      </c>
      <c r="L16" s="61">
        <v>0.3</v>
      </c>
      <c r="M16" s="61">
        <v>-31.3</v>
      </c>
      <c r="N16" s="61">
        <v>0.3</v>
      </c>
    </row>
    <row r="17" spans="1:14">
      <c r="A17" s="62" t="s">
        <v>166</v>
      </c>
      <c r="B17" s="62" t="s">
        <v>146</v>
      </c>
      <c r="C17" s="62" t="s">
        <v>147</v>
      </c>
      <c r="D17" s="62" t="s">
        <v>167</v>
      </c>
      <c r="E17" s="63">
        <v>-27.03766667</v>
      </c>
      <c r="F17" s="63">
        <v>0.66798220202504099</v>
      </c>
      <c r="G17" s="63">
        <v>-27.28233333</v>
      </c>
      <c r="H17" s="63">
        <v>0.87157380002435214</v>
      </c>
      <c r="I17" s="63">
        <v>-27.242999999999999</v>
      </c>
      <c r="J17" s="63">
        <v>0.57480257480286223</v>
      </c>
      <c r="K17" s="63" t="s">
        <v>152</v>
      </c>
      <c r="L17" s="63" t="s">
        <v>152</v>
      </c>
      <c r="M17" s="63">
        <v>-28.902000000000001</v>
      </c>
      <c r="N17" s="63">
        <v>0.18519179247472001</v>
      </c>
    </row>
    <row r="18" spans="1:14">
      <c r="A18" s="62" t="s">
        <v>168</v>
      </c>
      <c r="B18" s="62" t="s">
        <v>154</v>
      </c>
      <c r="C18" s="62" t="s">
        <v>147</v>
      </c>
      <c r="D18" s="62" t="s">
        <v>167</v>
      </c>
      <c r="E18" s="63">
        <v>-26.809333330000001</v>
      </c>
      <c r="F18" s="63">
        <v>0.14749538599186407</v>
      </c>
      <c r="G18" s="63">
        <v>-28.068666669999999</v>
      </c>
      <c r="H18" s="63">
        <v>7.0381500094524777E-2</v>
      </c>
      <c r="I18" s="63">
        <v>-26.829333330000001</v>
      </c>
      <c r="J18" s="63">
        <v>5.4063748379935481E-2</v>
      </c>
      <c r="K18" s="63" t="s">
        <v>152</v>
      </c>
      <c r="L18" s="63" t="s">
        <v>152</v>
      </c>
      <c r="M18" s="63" t="s">
        <v>152</v>
      </c>
      <c r="N18" s="63" t="s">
        <v>152</v>
      </c>
    </row>
    <row r="19" spans="1:14">
      <c r="A19" s="61" t="s">
        <v>169</v>
      </c>
      <c r="B19" s="61" t="s">
        <v>165</v>
      </c>
      <c r="C19" s="61" t="s">
        <v>170</v>
      </c>
      <c r="D19" s="61" t="s">
        <v>167</v>
      </c>
      <c r="E19" s="64">
        <v>-16.44766667</v>
      </c>
      <c r="F19" s="64">
        <v>9.8272862762593088E-2</v>
      </c>
      <c r="G19" s="64">
        <v>-14.429</v>
      </c>
      <c r="H19" s="64">
        <v>0.27821933793322173</v>
      </c>
      <c r="I19" s="64">
        <v>-14.75933333</v>
      </c>
      <c r="J19" s="64">
        <v>0.16209530804094521</v>
      </c>
      <c r="K19" s="64" t="s">
        <v>152</v>
      </c>
      <c r="L19" s="64" t="s">
        <v>152</v>
      </c>
      <c r="M19" s="64" t="s">
        <v>152</v>
      </c>
      <c r="N19" s="64" t="s">
        <v>152</v>
      </c>
    </row>
    <row r="20" spans="1:14">
      <c r="A20" s="62" t="s">
        <v>171</v>
      </c>
      <c r="B20" s="62" t="s">
        <v>151</v>
      </c>
      <c r="C20" s="62" t="s">
        <v>147</v>
      </c>
      <c r="D20" s="62" t="s">
        <v>167</v>
      </c>
      <c r="E20" s="63">
        <v>-27.65066667</v>
      </c>
      <c r="F20" s="63">
        <v>0.2130075637676333</v>
      </c>
      <c r="G20" s="63">
        <v>-27.430666670000001</v>
      </c>
      <c r="H20" s="63">
        <v>0.10387920335124247</v>
      </c>
      <c r="I20" s="63">
        <v>-27.56066667</v>
      </c>
      <c r="J20" s="63">
        <v>5.5912630256697765E-2</v>
      </c>
      <c r="K20" s="63" t="s">
        <v>152</v>
      </c>
      <c r="L20" s="63" t="s">
        <v>152</v>
      </c>
      <c r="M20" s="63" t="s">
        <v>152</v>
      </c>
      <c r="N20" s="63" t="s">
        <v>152</v>
      </c>
    </row>
    <row r="21" spans="1:14">
      <c r="A21" s="61" t="s">
        <v>172</v>
      </c>
      <c r="B21" s="61" t="s">
        <v>165</v>
      </c>
      <c r="C21" s="61" t="s">
        <v>170</v>
      </c>
      <c r="D21" s="61" t="s">
        <v>167</v>
      </c>
      <c r="E21" s="64">
        <v>-16.619</v>
      </c>
      <c r="F21" s="64" t="s">
        <v>152</v>
      </c>
      <c r="G21" s="64">
        <v>-14.071999999999999</v>
      </c>
      <c r="H21" s="64" t="s">
        <v>152</v>
      </c>
      <c r="I21" s="64">
        <v>-14.494999999999999</v>
      </c>
      <c r="J21" s="64" t="s">
        <v>152</v>
      </c>
      <c r="K21" s="64" t="s">
        <v>152</v>
      </c>
      <c r="L21" s="64" t="s">
        <v>152</v>
      </c>
      <c r="M21" s="64" t="s">
        <v>152</v>
      </c>
      <c r="N21" s="64" t="s">
        <v>152</v>
      </c>
    </row>
    <row r="22" spans="1:14">
      <c r="A22" s="61" t="s">
        <v>173</v>
      </c>
      <c r="B22" s="61" t="s">
        <v>165</v>
      </c>
      <c r="C22" s="61" t="s">
        <v>170</v>
      </c>
      <c r="D22" s="61" t="s">
        <v>167</v>
      </c>
      <c r="E22" s="64">
        <v>-16.623000000000001</v>
      </c>
      <c r="F22" s="64" t="s">
        <v>152</v>
      </c>
      <c r="G22" s="64">
        <v>-17.507999999999999</v>
      </c>
      <c r="H22" s="64" t="s">
        <v>152</v>
      </c>
      <c r="I22" s="64">
        <v>-14.807</v>
      </c>
      <c r="J22" s="64" t="s">
        <v>152</v>
      </c>
      <c r="K22" s="64" t="s">
        <v>152</v>
      </c>
      <c r="L22" s="64" t="s">
        <v>152</v>
      </c>
      <c r="M22" s="64" t="s">
        <v>152</v>
      </c>
      <c r="N22" s="64" t="s">
        <v>152</v>
      </c>
    </row>
    <row r="23" spans="1:14">
      <c r="A23" s="61" t="s">
        <v>174</v>
      </c>
      <c r="B23" s="61" t="s">
        <v>146</v>
      </c>
      <c r="C23" s="61" t="s">
        <v>147</v>
      </c>
      <c r="D23" s="61" t="s">
        <v>167</v>
      </c>
      <c r="E23" s="64">
        <v>-26.736999999999998</v>
      </c>
      <c r="F23" s="64">
        <v>6.0205204647659195E-2</v>
      </c>
      <c r="G23" s="64">
        <v>-26.61566667</v>
      </c>
      <c r="H23" s="64">
        <v>0.3060591809147728</v>
      </c>
      <c r="I23" s="64">
        <v>-26.914666669999999</v>
      </c>
      <c r="J23" s="64">
        <v>0.14578599231598224</v>
      </c>
      <c r="K23" s="64" t="s">
        <v>152</v>
      </c>
      <c r="L23" s="64" t="s">
        <v>152</v>
      </c>
      <c r="M23" s="64" t="s">
        <v>152</v>
      </c>
      <c r="N23" s="64" t="s">
        <v>152</v>
      </c>
    </row>
    <row r="24" spans="1:14">
      <c r="A24" s="61" t="s">
        <v>175</v>
      </c>
      <c r="B24" s="61" t="s">
        <v>165</v>
      </c>
      <c r="C24" s="61" t="s">
        <v>147</v>
      </c>
      <c r="D24" s="61" t="s">
        <v>167</v>
      </c>
      <c r="E24" s="64">
        <v>-30.076333330000001</v>
      </c>
      <c r="F24" s="64">
        <v>6.7539288977272405E-2</v>
      </c>
      <c r="G24" s="64">
        <v>-30.167333330000002</v>
      </c>
      <c r="H24" s="64">
        <v>0.24058447349920384</v>
      </c>
      <c r="I24" s="64">
        <v>-30.123000000000001</v>
      </c>
      <c r="J24" s="64">
        <v>0.15926288540230135</v>
      </c>
      <c r="K24" s="64" t="s">
        <v>152</v>
      </c>
      <c r="L24" s="64" t="s">
        <v>152</v>
      </c>
      <c r="M24" s="64" t="s">
        <v>152</v>
      </c>
      <c r="N24" s="64" t="s">
        <v>152</v>
      </c>
    </row>
    <row r="25" spans="1:14">
      <c r="A25" s="61" t="s">
        <v>176</v>
      </c>
      <c r="B25" s="61" t="s">
        <v>165</v>
      </c>
      <c r="C25" s="61" t="s">
        <v>170</v>
      </c>
      <c r="D25" s="61" t="s">
        <v>177</v>
      </c>
      <c r="E25" s="64">
        <v>-16.115868504085192</v>
      </c>
      <c r="F25" s="64" t="s">
        <v>152</v>
      </c>
      <c r="G25" s="64">
        <v>-16.371167522368754</v>
      </c>
      <c r="H25" s="64" t="s">
        <v>152</v>
      </c>
      <c r="I25" s="64">
        <v>-15.261570925120628</v>
      </c>
      <c r="J25" s="64" t="s">
        <v>152</v>
      </c>
      <c r="K25" s="64" t="s">
        <v>152</v>
      </c>
      <c r="L25" s="64" t="s">
        <v>152</v>
      </c>
      <c r="M25" s="64" t="s">
        <v>152</v>
      </c>
      <c r="N25" s="64" t="s">
        <v>152</v>
      </c>
    </row>
    <row r="26" spans="1:14">
      <c r="A26" s="61" t="s">
        <v>178</v>
      </c>
      <c r="B26" s="61" t="s">
        <v>165</v>
      </c>
      <c r="C26" s="61" t="s">
        <v>170</v>
      </c>
      <c r="D26" s="61" t="s">
        <v>177</v>
      </c>
      <c r="E26" s="64">
        <v>-16.088735218920618</v>
      </c>
      <c r="F26" s="64" t="s">
        <v>152</v>
      </c>
      <c r="G26" s="64">
        <v>-16.730933732677379</v>
      </c>
      <c r="H26" s="64" t="s">
        <v>152</v>
      </c>
      <c r="I26" s="64">
        <v>-16.470217655891123</v>
      </c>
      <c r="J26" s="64" t="s">
        <v>152</v>
      </c>
      <c r="K26" s="64" t="s">
        <v>152</v>
      </c>
      <c r="L26" s="64" t="s">
        <v>152</v>
      </c>
      <c r="M26" s="64" t="s">
        <v>152</v>
      </c>
      <c r="N26" s="64" t="s">
        <v>152</v>
      </c>
    </row>
    <row r="27" spans="1:14">
      <c r="A27" s="61" t="s">
        <v>179</v>
      </c>
      <c r="B27" s="61" t="s">
        <v>165</v>
      </c>
      <c r="C27" s="61" t="s">
        <v>170</v>
      </c>
      <c r="D27" s="61" t="s">
        <v>177</v>
      </c>
      <c r="E27" s="64">
        <v>-16.651848211306273</v>
      </c>
      <c r="F27" s="64" t="s">
        <v>152</v>
      </c>
      <c r="G27" s="64">
        <v>-16.652790416902402</v>
      </c>
      <c r="H27" s="64" t="s">
        <v>152</v>
      </c>
      <c r="I27" s="64">
        <v>-15.792046670252182</v>
      </c>
      <c r="J27" s="64" t="s">
        <v>152</v>
      </c>
      <c r="K27" s="64" t="s">
        <v>152</v>
      </c>
      <c r="L27" s="64" t="s">
        <v>152</v>
      </c>
      <c r="M27" s="64" t="s">
        <v>152</v>
      </c>
      <c r="N27" s="64" t="s">
        <v>152</v>
      </c>
    </row>
    <row r="28" spans="1:14">
      <c r="A28" s="61" t="s">
        <v>180</v>
      </c>
      <c r="B28" s="61" t="s">
        <v>165</v>
      </c>
      <c r="C28" s="61" t="s">
        <v>170</v>
      </c>
      <c r="D28" s="61" t="s">
        <v>177</v>
      </c>
      <c r="E28" s="64">
        <v>-16.172625131206743</v>
      </c>
      <c r="F28" s="64" t="s">
        <v>152</v>
      </c>
      <c r="G28" s="64">
        <v>-16.389995251010816</v>
      </c>
      <c r="H28" s="64" t="s">
        <v>152</v>
      </c>
      <c r="I28" s="64">
        <v>-15.268559901778296</v>
      </c>
      <c r="J28" s="64" t="s">
        <v>152</v>
      </c>
      <c r="K28" s="64" t="s">
        <v>152</v>
      </c>
      <c r="L28" s="64" t="s">
        <v>152</v>
      </c>
      <c r="M28" s="64" t="s">
        <v>152</v>
      </c>
      <c r="N28" s="64" t="s">
        <v>152</v>
      </c>
    </row>
    <row r="29" spans="1:14">
      <c r="A29" s="61" t="s">
        <v>181</v>
      </c>
      <c r="B29" s="61" t="s">
        <v>165</v>
      </c>
      <c r="C29" s="61" t="s">
        <v>170</v>
      </c>
      <c r="D29" s="61" t="s">
        <v>177</v>
      </c>
      <c r="E29" s="64">
        <v>-16.18615501414752</v>
      </c>
      <c r="F29" s="64" t="s">
        <v>152</v>
      </c>
      <c r="G29" s="64">
        <v>-16.500621251415918</v>
      </c>
      <c r="H29" s="64" t="s">
        <v>152</v>
      </c>
      <c r="I29" s="64">
        <v>-15.839794452186904</v>
      </c>
      <c r="J29" s="64" t="s">
        <v>152</v>
      </c>
      <c r="K29" s="64" t="s">
        <v>152</v>
      </c>
      <c r="L29" s="64" t="s">
        <v>152</v>
      </c>
      <c r="M29" s="64" t="s">
        <v>152</v>
      </c>
      <c r="N29" s="64" t="s">
        <v>152</v>
      </c>
    </row>
    <row r="30" spans="1:14">
      <c r="A30" s="61" t="s">
        <v>182</v>
      </c>
      <c r="B30" s="61" t="s">
        <v>165</v>
      </c>
      <c r="C30" s="61" t="s">
        <v>170</v>
      </c>
      <c r="D30" s="61" t="s">
        <v>177</v>
      </c>
      <c r="E30" s="64">
        <v>-16.711229147743495</v>
      </c>
      <c r="F30" s="64" t="s">
        <v>152</v>
      </c>
      <c r="G30" s="64">
        <v>-16.436578856015576</v>
      </c>
      <c r="H30" s="64" t="s">
        <v>152</v>
      </c>
      <c r="I30" s="64">
        <v>-16.30725468315617</v>
      </c>
      <c r="J30" s="64" t="s">
        <v>152</v>
      </c>
      <c r="K30" s="64" t="s">
        <v>152</v>
      </c>
      <c r="L30" s="64" t="s">
        <v>152</v>
      </c>
      <c r="M30" s="64" t="s">
        <v>152</v>
      </c>
      <c r="N30" s="64" t="s">
        <v>152</v>
      </c>
    </row>
    <row r="31" spans="1:14">
      <c r="A31" s="61" t="s">
        <v>183</v>
      </c>
      <c r="B31" s="61" t="s">
        <v>165</v>
      </c>
      <c r="C31" s="61" t="s">
        <v>170</v>
      </c>
      <c r="D31" s="61" t="s">
        <v>177</v>
      </c>
      <c r="E31" s="64">
        <v>-16.619424964557314</v>
      </c>
      <c r="F31" s="64" t="s">
        <v>152</v>
      </c>
      <c r="G31" s="64">
        <v>-16.637878426965518</v>
      </c>
      <c r="H31" s="64" t="s">
        <v>152</v>
      </c>
      <c r="I31" s="64">
        <v>-15.251547119543584</v>
      </c>
      <c r="J31" s="64" t="s">
        <v>152</v>
      </c>
      <c r="K31" s="64" t="s">
        <v>152</v>
      </c>
      <c r="L31" s="64" t="s">
        <v>152</v>
      </c>
      <c r="M31" s="64" t="s">
        <v>152</v>
      </c>
      <c r="N31" s="64" t="s">
        <v>152</v>
      </c>
    </row>
    <row r="32" spans="1:14">
      <c r="A32" s="61" t="s">
        <v>184</v>
      </c>
      <c r="B32" s="61" t="s">
        <v>146</v>
      </c>
      <c r="C32" s="61" t="s">
        <v>147</v>
      </c>
      <c r="D32" s="61" t="s">
        <v>177</v>
      </c>
      <c r="E32" s="64">
        <v>-28.8</v>
      </c>
      <c r="F32" s="64">
        <v>0.35</v>
      </c>
      <c r="G32" s="64">
        <v>-28.3</v>
      </c>
      <c r="H32" s="64" t="s">
        <v>152</v>
      </c>
      <c r="I32" s="64">
        <v>-28</v>
      </c>
      <c r="J32" s="64" t="s">
        <v>152</v>
      </c>
      <c r="K32" s="64" t="s">
        <v>152</v>
      </c>
      <c r="L32" s="64" t="s">
        <v>152</v>
      </c>
      <c r="M32" s="64" t="s">
        <v>152</v>
      </c>
      <c r="N32" s="64" t="s">
        <v>152</v>
      </c>
    </row>
  </sheetData>
  <mergeCells count="1">
    <mergeCell ref="E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37572-F109-CB4A-8275-FC751356CCC7}">
  <dimension ref="A1:N57"/>
  <sheetViews>
    <sheetView workbookViewId="0">
      <selection activeCell="H7" sqref="H7"/>
    </sheetView>
  </sheetViews>
  <sheetFormatPr baseColWidth="10" defaultRowHeight="16"/>
  <sheetData>
    <row r="1" spans="1:14">
      <c r="A1" s="65"/>
      <c r="B1" s="65"/>
      <c r="C1" s="130" t="s">
        <v>185</v>
      </c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2"/>
    </row>
    <row r="2" spans="1:14" ht="114">
      <c r="A2" s="66" t="s">
        <v>186</v>
      </c>
      <c r="B2" s="67" t="s">
        <v>187</v>
      </c>
      <c r="C2" s="68" t="s">
        <v>114</v>
      </c>
      <c r="D2" s="68" t="s">
        <v>188</v>
      </c>
      <c r="E2" s="68" t="s">
        <v>116</v>
      </c>
      <c r="F2" s="68" t="s">
        <v>117</v>
      </c>
      <c r="G2" s="68" t="s">
        <v>189</v>
      </c>
      <c r="H2" s="68" t="s">
        <v>190</v>
      </c>
      <c r="I2" s="68" t="s">
        <v>191</v>
      </c>
      <c r="J2" s="68" t="s">
        <v>192</v>
      </c>
      <c r="K2" s="68" t="s">
        <v>193</v>
      </c>
      <c r="L2" s="68" t="s">
        <v>194</v>
      </c>
      <c r="M2" s="68" t="s">
        <v>195</v>
      </c>
      <c r="N2" s="69" t="s">
        <v>196</v>
      </c>
    </row>
    <row r="3" spans="1:14">
      <c r="A3" s="70" t="s">
        <v>197</v>
      </c>
      <c r="B3" s="133" t="s">
        <v>198</v>
      </c>
      <c r="C3" s="71">
        <v>2073</v>
      </c>
      <c r="D3" s="71">
        <v>207</v>
      </c>
      <c r="E3" s="71">
        <v>0</v>
      </c>
      <c r="F3" s="71">
        <v>1071</v>
      </c>
      <c r="G3" s="71">
        <v>25003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</row>
    <row r="4" spans="1:14">
      <c r="A4" s="70" t="s">
        <v>199</v>
      </c>
      <c r="B4" s="134"/>
      <c r="C4" s="71">
        <v>639</v>
      </c>
      <c r="D4" s="71">
        <v>64</v>
      </c>
      <c r="E4" s="71">
        <v>1728</v>
      </c>
      <c r="F4" s="71">
        <v>865</v>
      </c>
      <c r="G4" s="71">
        <v>274</v>
      </c>
      <c r="H4" s="71">
        <v>0</v>
      </c>
      <c r="I4" s="71">
        <v>179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</row>
    <row r="5" spans="1:14">
      <c r="A5" s="70" t="s">
        <v>200</v>
      </c>
      <c r="B5" s="134"/>
      <c r="C5" s="71">
        <v>1479</v>
      </c>
      <c r="D5" s="71">
        <v>315</v>
      </c>
      <c r="E5" s="71">
        <v>0</v>
      </c>
      <c r="F5" s="71">
        <v>1009</v>
      </c>
      <c r="G5" s="71">
        <v>6510</v>
      </c>
      <c r="H5" s="71">
        <v>0</v>
      </c>
      <c r="I5" s="71">
        <v>531</v>
      </c>
      <c r="J5" s="71">
        <v>582</v>
      </c>
      <c r="K5" s="71">
        <v>0</v>
      </c>
      <c r="L5" s="71">
        <v>0</v>
      </c>
      <c r="M5" s="71">
        <v>0</v>
      </c>
      <c r="N5" s="71">
        <v>0</v>
      </c>
    </row>
    <row r="6" spans="1:14">
      <c r="A6" s="70" t="s">
        <v>201</v>
      </c>
      <c r="B6" s="134"/>
      <c r="C6" s="71">
        <v>4197</v>
      </c>
      <c r="D6" s="71">
        <v>606</v>
      </c>
      <c r="E6" s="71">
        <v>0</v>
      </c>
      <c r="F6" s="71">
        <v>0</v>
      </c>
      <c r="G6" s="71">
        <v>25339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</row>
    <row r="7" spans="1:14">
      <c r="A7" s="70" t="s">
        <v>202</v>
      </c>
      <c r="B7" s="134"/>
      <c r="C7" s="71">
        <v>1477</v>
      </c>
      <c r="D7" s="71">
        <v>714</v>
      </c>
      <c r="E7" s="71">
        <v>1535</v>
      </c>
      <c r="F7" s="71">
        <v>1480</v>
      </c>
      <c r="G7" s="71">
        <v>4165</v>
      </c>
      <c r="H7" s="71">
        <v>0</v>
      </c>
      <c r="I7" s="71">
        <v>581</v>
      </c>
      <c r="J7" s="71">
        <v>0</v>
      </c>
      <c r="K7" s="71">
        <v>376</v>
      </c>
      <c r="L7" s="71">
        <v>803</v>
      </c>
      <c r="M7" s="71">
        <v>0</v>
      </c>
      <c r="N7" s="71">
        <v>0</v>
      </c>
    </row>
    <row r="8" spans="1:14">
      <c r="A8" s="70" t="s">
        <v>203</v>
      </c>
      <c r="B8" s="134"/>
      <c r="C8" s="71">
        <v>7687</v>
      </c>
      <c r="D8" s="71">
        <v>2917</v>
      </c>
      <c r="E8" s="71">
        <v>6467</v>
      </c>
      <c r="F8" s="71">
        <v>1861</v>
      </c>
      <c r="G8" s="71">
        <v>25043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</row>
    <row r="9" spans="1:14">
      <c r="A9" s="70" t="s">
        <v>204</v>
      </c>
      <c r="B9" s="134"/>
      <c r="C9" s="71">
        <v>7861</v>
      </c>
      <c r="D9" s="71">
        <v>56</v>
      </c>
      <c r="E9" s="71">
        <v>6633</v>
      </c>
      <c r="F9" s="71">
        <v>3191</v>
      </c>
      <c r="G9" s="71">
        <v>573</v>
      </c>
      <c r="H9" s="71">
        <v>0</v>
      </c>
      <c r="I9" s="71">
        <v>204</v>
      </c>
      <c r="J9" s="71">
        <v>0</v>
      </c>
      <c r="K9" s="71">
        <v>38</v>
      </c>
      <c r="L9" s="71">
        <v>402</v>
      </c>
      <c r="M9" s="71">
        <v>0</v>
      </c>
      <c r="N9" s="71">
        <v>81</v>
      </c>
    </row>
    <row r="10" spans="1:14">
      <c r="A10" s="70" t="s">
        <v>205</v>
      </c>
      <c r="B10" s="134"/>
      <c r="C10" s="71">
        <v>396</v>
      </c>
      <c r="D10" s="71">
        <v>90</v>
      </c>
      <c r="E10" s="71">
        <v>669</v>
      </c>
      <c r="F10" s="71">
        <v>521</v>
      </c>
      <c r="G10" s="71">
        <v>963</v>
      </c>
      <c r="H10" s="71">
        <v>0</v>
      </c>
      <c r="I10" s="71">
        <v>251</v>
      </c>
      <c r="J10" s="71">
        <v>0</v>
      </c>
      <c r="K10" s="71">
        <v>253</v>
      </c>
      <c r="L10" s="71">
        <v>0</v>
      </c>
      <c r="M10" s="71">
        <v>0</v>
      </c>
      <c r="N10" s="71">
        <v>0</v>
      </c>
    </row>
    <row r="11" spans="1:14">
      <c r="A11" s="70" t="s">
        <v>206</v>
      </c>
      <c r="B11" s="134"/>
      <c r="C11" s="71">
        <v>7475</v>
      </c>
      <c r="D11" s="71">
        <v>1330</v>
      </c>
      <c r="E11" s="71">
        <v>6742</v>
      </c>
      <c r="F11" s="71">
        <v>4318</v>
      </c>
      <c r="G11" s="71">
        <v>3842</v>
      </c>
      <c r="H11" s="71">
        <v>127</v>
      </c>
      <c r="I11" s="71">
        <v>1724</v>
      </c>
      <c r="J11" s="71">
        <v>0</v>
      </c>
      <c r="K11" s="71">
        <v>578</v>
      </c>
      <c r="L11" s="71">
        <v>0</v>
      </c>
      <c r="M11" s="71">
        <v>0</v>
      </c>
      <c r="N11" s="71">
        <v>0</v>
      </c>
    </row>
    <row r="12" spans="1:14">
      <c r="A12" s="70" t="s">
        <v>207</v>
      </c>
      <c r="B12" s="134"/>
      <c r="C12" s="71">
        <v>743</v>
      </c>
      <c r="D12" s="71">
        <v>140</v>
      </c>
      <c r="E12" s="71">
        <v>1194</v>
      </c>
      <c r="F12" s="71">
        <v>6370</v>
      </c>
      <c r="G12" s="71">
        <v>7797</v>
      </c>
      <c r="H12" s="71">
        <v>0</v>
      </c>
      <c r="I12" s="71">
        <v>566</v>
      </c>
      <c r="J12" s="71">
        <v>0</v>
      </c>
      <c r="K12" s="71">
        <v>1045</v>
      </c>
      <c r="L12" s="71">
        <v>0</v>
      </c>
      <c r="M12" s="71">
        <v>0</v>
      </c>
      <c r="N12" s="71">
        <v>0</v>
      </c>
    </row>
    <row r="13" spans="1:14">
      <c r="A13" s="70" t="s">
        <v>208</v>
      </c>
      <c r="B13" s="134"/>
      <c r="C13" s="71">
        <v>3284</v>
      </c>
      <c r="D13" s="71">
        <v>647</v>
      </c>
      <c r="E13" s="71">
        <v>1750</v>
      </c>
      <c r="F13" s="71">
        <v>0</v>
      </c>
      <c r="G13" s="71">
        <v>0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</row>
    <row r="14" spans="1:14">
      <c r="A14" s="70" t="s">
        <v>209</v>
      </c>
      <c r="B14" s="134"/>
      <c r="C14" s="71">
        <v>715</v>
      </c>
      <c r="D14" s="71">
        <v>0</v>
      </c>
      <c r="E14" s="71">
        <v>3240</v>
      </c>
      <c r="F14" s="71">
        <v>426</v>
      </c>
      <c r="G14" s="71">
        <v>2634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</row>
    <row r="15" spans="1:14">
      <c r="A15" s="70" t="s">
        <v>210</v>
      </c>
      <c r="B15" s="134"/>
      <c r="C15" s="71">
        <v>2001</v>
      </c>
      <c r="D15" s="71">
        <v>183</v>
      </c>
      <c r="E15" s="71">
        <v>4493</v>
      </c>
      <c r="F15" s="71">
        <v>3394</v>
      </c>
      <c r="G15" s="71">
        <v>34717</v>
      </c>
      <c r="H15" s="71">
        <v>0</v>
      </c>
      <c r="I15" s="71">
        <v>1210</v>
      </c>
      <c r="J15" s="71">
        <v>364</v>
      </c>
      <c r="K15" s="71">
        <v>2321</v>
      </c>
      <c r="L15" s="71">
        <v>0</v>
      </c>
      <c r="M15" s="71">
        <v>0</v>
      </c>
      <c r="N15" s="71">
        <v>190</v>
      </c>
    </row>
    <row r="16" spans="1:14">
      <c r="A16" s="70" t="s">
        <v>211</v>
      </c>
      <c r="B16" s="134"/>
      <c r="C16" s="71">
        <v>1496</v>
      </c>
      <c r="D16" s="71">
        <v>2233</v>
      </c>
      <c r="E16" s="71">
        <v>822</v>
      </c>
      <c r="F16" s="71">
        <v>3067</v>
      </c>
      <c r="G16" s="71">
        <v>0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</row>
    <row r="17" spans="1:14">
      <c r="A17" s="70" t="s">
        <v>212</v>
      </c>
      <c r="B17" s="134"/>
      <c r="C17" s="71">
        <v>364</v>
      </c>
      <c r="D17" s="71">
        <v>0</v>
      </c>
      <c r="E17" s="71">
        <v>153</v>
      </c>
      <c r="F17" s="71">
        <v>259</v>
      </c>
      <c r="G17" s="71">
        <v>0</v>
      </c>
      <c r="H17" s="71">
        <v>0</v>
      </c>
      <c r="I17" s="71">
        <v>0</v>
      </c>
      <c r="J17" s="71">
        <v>0</v>
      </c>
      <c r="K17" s="71">
        <v>0</v>
      </c>
      <c r="L17" s="71">
        <v>0</v>
      </c>
      <c r="M17" s="71">
        <v>0</v>
      </c>
      <c r="N17" s="71">
        <v>0</v>
      </c>
    </row>
    <row r="18" spans="1:14">
      <c r="A18" s="70" t="s">
        <v>213</v>
      </c>
      <c r="B18" s="134"/>
      <c r="C18" s="71">
        <v>7741</v>
      </c>
      <c r="D18" s="71">
        <v>0</v>
      </c>
      <c r="E18" s="71">
        <v>4203</v>
      </c>
      <c r="F18" s="71">
        <v>947</v>
      </c>
      <c r="G18" s="71">
        <v>0</v>
      </c>
      <c r="H18" s="71">
        <v>793</v>
      </c>
      <c r="I18" s="71">
        <v>0</v>
      </c>
      <c r="J18" s="71">
        <v>0</v>
      </c>
      <c r="K18" s="71">
        <v>0</v>
      </c>
      <c r="L18" s="71">
        <v>467</v>
      </c>
      <c r="M18" s="71">
        <v>0</v>
      </c>
      <c r="N18" s="71">
        <v>0</v>
      </c>
    </row>
    <row r="19" spans="1:14">
      <c r="A19" s="70" t="s">
        <v>214</v>
      </c>
      <c r="B19" s="134"/>
      <c r="C19" s="71">
        <v>2012</v>
      </c>
      <c r="D19" s="71">
        <v>0</v>
      </c>
      <c r="E19" s="71">
        <v>2351</v>
      </c>
      <c r="F19" s="71">
        <v>2352</v>
      </c>
      <c r="G19" s="71">
        <v>0</v>
      </c>
      <c r="H19" s="71">
        <v>965</v>
      </c>
      <c r="I19" s="71">
        <v>1116</v>
      </c>
      <c r="J19" s="71">
        <v>0</v>
      </c>
      <c r="K19" s="71">
        <v>0</v>
      </c>
      <c r="L19" s="71">
        <v>3225</v>
      </c>
      <c r="M19" s="71">
        <v>0</v>
      </c>
      <c r="N19" s="71">
        <v>0</v>
      </c>
    </row>
    <row r="20" spans="1:14">
      <c r="A20" s="70" t="s">
        <v>215</v>
      </c>
      <c r="B20" s="134"/>
      <c r="C20" s="71">
        <v>1606</v>
      </c>
      <c r="D20" s="71">
        <v>1302</v>
      </c>
      <c r="E20" s="71">
        <v>2669</v>
      </c>
      <c r="F20" s="71">
        <v>984</v>
      </c>
      <c r="G20" s="71">
        <v>0</v>
      </c>
      <c r="H20" s="71">
        <v>211</v>
      </c>
      <c r="I20" s="71">
        <v>147</v>
      </c>
      <c r="J20" s="71">
        <v>0</v>
      </c>
      <c r="K20" s="71">
        <v>0</v>
      </c>
      <c r="L20" s="71">
        <v>147</v>
      </c>
      <c r="M20" s="71">
        <v>0</v>
      </c>
      <c r="N20" s="71">
        <v>0</v>
      </c>
    </row>
    <row r="21" spans="1:14">
      <c r="A21" s="70" t="s">
        <v>216</v>
      </c>
      <c r="B21" s="134"/>
      <c r="C21" s="71">
        <v>704</v>
      </c>
      <c r="D21" s="71">
        <v>192</v>
      </c>
      <c r="E21" s="71">
        <v>460</v>
      </c>
      <c r="F21" s="71">
        <v>597</v>
      </c>
      <c r="G21" s="71">
        <v>0</v>
      </c>
      <c r="H21" s="71">
        <v>132</v>
      </c>
      <c r="I21" s="71">
        <v>61</v>
      </c>
      <c r="J21" s="71">
        <v>0</v>
      </c>
      <c r="K21" s="71">
        <v>0</v>
      </c>
      <c r="L21" s="71">
        <v>0</v>
      </c>
      <c r="M21" s="71">
        <v>0</v>
      </c>
      <c r="N21" s="71">
        <v>0</v>
      </c>
    </row>
    <row r="22" spans="1:14">
      <c r="A22" s="70" t="s">
        <v>217</v>
      </c>
      <c r="B22" s="134"/>
      <c r="C22" s="71">
        <v>130</v>
      </c>
      <c r="D22" s="71">
        <v>25</v>
      </c>
      <c r="E22" s="71">
        <v>300</v>
      </c>
      <c r="F22" s="71">
        <v>390</v>
      </c>
      <c r="G22" s="71">
        <v>0</v>
      </c>
      <c r="H22" s="71">
        <v>80</v>
      </c>
      <c r="I22" s="71">
        <v>75</v>
      </c>
      <c r="J22" s="71">
        <v>20</v>
      </c>
      <c r="K22" s="71">
        <v>9</v>
      </c>
      <c r="L22" s="71">
        <v>8</v>
      </c>
      <c r="M22" s="71">
        <v>0</v>
      </c>
      <c r="N22" s="71">
        <v>0</v>
      </c>
    </row>
    <row r="23" spans="1:14">
      <c r="A23" s="70" t="s">
        <v>218</v>
      </c>
      <c r="B23" s="134"/>
      <c r="C23" s="71">
        <v>7</v>
      </c>
      <c r="D23" s="71">
        <v>3</v>
      </c>
      <c r="E23" s="71">
        <v>10</v>
      </c>
      <c r="F23" s="71">
        <v>9</v>
      </c>
      <c r="G23" s="71">
        <v>0</v>
      </c>
      <c r="H23" s="71">
        <v>5</v>
      </c>
      <c r="I23" s="71">
        <v>5</v>
      </c>
      <c r="J23" s="71">
        <v>9</v>
      </c>
      <c r="K23" s="71">
        <v>5</v>
      </c>
      <c r="L23" s="71">
        <v>3</v>
      </c>
      <c r="M23" s="71">
        <v>2</v>
      </c>
      <c r="N23" s="71">
        <v>0</v>
      </c>
    </row>
    <row r="24" spans="1:14">
      <c r="A24" s="70" t="s">
        <v>219</v>
      </c>
      <c r="B24" s="135"/>
      <c r="C24" s="71">
        <v>86</v>
      </c>
      <c r="D24" s="71">
        <v>26</v>
      </c>
      <c r="E24" s="71">
        <v>86</v>
      </c>
      <c r="F24" s="71">
        <v>76</v>
      </c>
      <c r="G24" s="71">
        <v>0</v>
      </c>
      <c r="H24" s="71">
        <v>28</v>
      </c>
      <c r="I24" s="71">
        <v>38</v>
      </c>
      <c r="J24" s="71">
        <v>25</v>
      </c>
      <c r="K24" s="71">
        <v>13</v>
      </c>
      <c r="L24" s="71">
        <v>10</v>
      </c>
      <c r="M24" s="71">
        <v>5</v>
      </c>
      <c r="N24" s="71">
        <v>0</v>
      </c>
    </row>
    <row r="25" spans="1:14">
      <c r="A25" s="70" t="s">
        <v>220</v>
      </c>
      <c r="B25" s="133" t="s">
        <v>221</v>
      </c>
      <c r="C25" s="71">
        <v>94</v>
      </c>
      <c r="D25" s="71">
        <v>0</v>
      </c>
      <c r="E25" s="71">
        <v>47</v>
      </c>
      <c r="F25" s="71">
        <v>51</v>
      </c>
      <c r="G25" s="71">
        <v>0</v>
      </c>
      <c r="H25" s="71">
        <v>8</v>
      </c>
      <c r="I25" s="71">
        <v>29</v>
      </c>
      <c r="J25" s="71">
        <v>26</v>
      </c>
      <c r="K25" s="71">
        <v>13</v>
      </c>
      <c r="L25" s="71">
        <v>0</v>
      </c>
      <c r="M25" s="71">
        <v>6</v>
      </c>
      <c r="N25" s="71">
        <v>9</v>
      </c>
    </row>
    <row r="26" spans="1:14">
      <c r="A26" s="70" t="s">
        <v>222</v>
      </c>
      <c r="B26" s="134"/>
      <c r="C26" s="71">
        <v>42</v>
      </c>
      <c r="D26" s="71">
        <v>2</v>
      </c>
      <c r="E26" s="71">
        <v>19</v>
      </c>
      <c r="F26" s="71">
        <v>16</v>
      </c>
      <c r="G26" s="71">
        <v>0</v>
      </c>
      <c r="H26" s="71">
        <v>3</v>
      </c>
      <c r="I26" s="71">
        <v>5</v>
      </c>
      <c r="J26" s="71">
        <v>4</v>
      </c>
      <c r="K26" s="71">
        <v>2</v>
      </c>
      <c r="L26" s="71">
        <v>1</v>
      </c>
      <c r="M26" s="71">
        <v>1</v>
      </c>
      <c r="N26" s="71">
        <v>1</v>
      </c>
    </row>
    <row r="27" spans="1:14">
      <c r="A27" s="70" t="s">
        <v>223</v>
      </c>
      <c r="B27" s="134"/>
      <c r="C27" s="71">
        <v>6</v>
      </c>
      <c r="D27" s="71">
        <v>0</v>
      </c>
      <c r="E27" s="71">
        <v>1</v>
      </c>
      <c r="F27" s="71">
        <v>2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0</v>
      </c>
      <c r="M27" s="71">
        <v>0</v>
      </c>
      <c r="N27" s="71">
        <v>0</v>
      </c>
    </row>
    <row r="28" spans="1:14">
      <c r="A28" s="70" t="s">
        <v>224</v>
      </c>
      <c r="B28" s="134"/>
      <c r="C28" s="71">
        <v>338</v>
      </c>
      <c r="D28" s="71">
        <v>21</v>
      </c>
      <c r="E28" s="71">
        <v>109</v>
      </c>
      <c r="F28" s="71">
        <v>112</v>
      </c>
      <c r="G28" s="71">
        <v>31</v>
      </c>
      <c r="H28" s="71">
        <v>4</v>
      </c>
      <c r="I28" s="71">
        <v>10</v>
      </c>
      <c r="J28" s="71">
        <v>8</v>
      </c>
      <c r="K28" s="71">
        <v>3</v>
      </c>
      <c r="L28" s="71">
        <v>2</v>
      </c>
      <c r="M28" s="71">
        <v>2</v>
      </c>
      <c r="N28" s="71">
        <v>1</v>
      </c>
    </row>
    <row r="29" spans="1:14">
      <c r="A29" s="70" t="s">
        <v>225</v>
      </c>
      <c r="B29" s="134"/>
      <c r="C29" s="71">
        <v>6</v>
      </c>
      <c r="D29" s="71">
        <v>0</v>
      </c>
      <c r="E29" s="71">
        <v>2</v>
      </c>
      <c r="F29" s="71">
        <v>2</v>
      </c>
      <c r="G29" s="71">
        <v>0</v>
      </c>
      <c r="H29" s="71">
        <v>1</v>
      </c>
      <c r="I29" s="71">
        <v>2</v>
      </c>
      <c r="J29" s="71">
        <v>1</v>
      </c>
      <c r="K29" s="71">
        <v>1</v>
      </c>
      <c r="L29" s="71">
        <v>0</v>
      </c>
      <c r="M29" s="71">
        <v>0</v>
      </c>
      <c r="N29" s="71">
        <v>0</v>
      </c>
    </row>
    <row r="30" spans="1:14">
      <c r="A30" s="70" t="s">
        <v>226</v>
      </c>
      <c r="B30" s="134"/>
      <c r="C30" s="71">
        <v>62</v>
      </c>
      <c r="D30" s="71">
        <v>1</v>
      </c>
      <c r="E30" s="71">
        <v>20</v>
      </c>
      <c r="F30" s="71">
        <v>23</v>
      </c>
      <c r="G30" s="71">
        <v>0</v>
      </c>
      <c r="H30" s="71">
        <v>3</v>
      </c>
      <c r="I30" s="71">
        <v>8</v>
      </c>
      <c r="J30" s="71">
        <v>5</v>
      </c>
      <c r="K30" s="71">
        <v>4</v>
      </c>
      <c r="L30" s="71">
        <v>1</v>
      </c>
      <c r="M30" s="71">
        <v>1</v>
      </c>
      <c r="N30" s="71">
        <v>3</v>
      </c>
    </row>
    <row r="31" spans="1:14">
      <c r="A31" s="70" t="s">
        <v>227</v>
      </c>
      <c r="B31" s="134"/>
      <c r="C31" s="71">
        <v>3</v>
      </c>
      <c r="D31" s="71">
        <v>0</v>
      </c>
      <c r="E31" s="71">
        <v>1</v>
      </c>
      <c r="F31" s="71">
        <v>1</v>
      </c>
      <c r="G31" s="71">
        <v>0</v>
      </c>
      <c r="H31" s="71">
        <v>0</v>
      </c>
      <c r="I31" s="71">
        <v>1</v>
      </c>
      <c r="J31" s="71">
        <v>1</v>
      </c>
      <c r="K31" s="71">
        <v>0</v>
      </c>
      <c r="L31" s="71">
        <v>0</v>
      </c>
      <c r="M31" s="71">
        <v>0</v>
      </c>
      <c r="N31" s="71">
        <v>0</v>
      </c>
    </row>
    <row r="32" spans="1:14">
      <c r="A32" s="70" t="s">
        <v>228</v>
      </c>
      <c r="B32" s="134"/>
      <c r="C32" s="71">
        <v>251</v>
      </c>
      <c r="D32" s="71">
        <v>12</v>
      </c>
      <c r="E32" s="71">
        <v>207</v>
      </c>
      <c r="F32" s="71">
        <v>240</v>
      </c>
      <c r="G32" s="71">
        <v>34</v>
      </c>
      <c r="H32" s="71">
        <v>19</v>
      </c>
      <c r="I32" s="71">
        <v>63</v>
      </c>
      <c r="J32" s="71">
        <v>48</v>
      </c>
      <c r="K32" s="71">
        <v>29</v>
      </c>
      <c r="L32" s="71">
        <v>13</v>
      </c>
      <c r="M32" s="71">
        <v>6</v>
      </c>
      <c r="N32" s="71">
        <v>9</v>
      </c>
    </row>
    <row r="33" spans="1:14">
      <c r="A33" s="70" t="s">
        <v>229</v>
      </c>
      <c r="B33" s="134"/>
      <c r="C33" s="71">
        <v>5</v>
      </c>
      <c r="D33" s="71">
        <v>0</v>
      </c>
      <c r="E33" s="71">
        <v>1</v>
      </c>
      <c r="F33" s="71">
        <v>1</v>
      </c>
      <c r="G33" s="71">
        <v>0</v>
      </c>
      <c r="H33" s="71">
        <v>0</v>
      </c>
      <c r="I33" s="71">
        <v>0</v>
      </c>
      <c r="J33" s="71">
        <v>0</v>
      </c>
      <c r="K33" s="71">
        <v>0</v>
      </c>
      <c r="L33" s="71">
        <v>0</v>
      </c>
      <c r="M33" s="71">
        <v>0</v>
      </c>
      <c r="N33" s="71">
        <v>0</v>
      </c>
    </row>
    <row r="34" spans="1:14">
      <c r="A34" s="70" t="s">
        <v>230</v>
      </c>
      <c r="B34" s="134"/>
      <c r="C34" s="71">
        <v>986</v>
      </c>
      <c r="D34" s="71">
        <v>88</v>
      </c>
      <c r="E34" s="71">
        <v>98</v>
      </c>
      <c r="F34" s="71">
        <v>135</v>
      </c>
      <c r="G34" s="71" t="s">
        <v>152</v>
      </c>
      <c r="H34" s="71">
        <v>93</v>
      </c>
      <c r="I34" s="71">
        <v>121</v>
      </c>
      <c r="J34" s="71">
        <v>214</v>
      </c>
      <c r="K34" s="71">
        <v>74</v>
      </c>
      <c r="L34" s="71" t="s">
        <v>152</v>
      </c>
      <c r="M34" s="71">
        <v>28</v>
      </c>
      <c r="N34" s="71">
        <v>37</v>
      </c>
    </row>
    <row r="35" spans="1:14">
      <c r="A35" s="70" t="s">
        <v>231</v>
      </c>
      <c r="B35" s="134"/>
      <c r="C35" s="71">
        <v>181</v>
      </c>
      <c r="D35" s="71">
        <v>20</v>
      </c>
      <c r="E35" s="71">
        <v>44</v>
      </c>
      <c r="F35" s="71">
        <v>92</v>
      </c>
      <c r="G35" s="71" t="s">
        <v>152</v>
      </c>
      <c r="H35" s="71">
        <v>23</v>
      </c>
      <c r="I35" s="71">
        <v>66</v>
      </c>
      <c r="J35" s="71">
        <v>89</v>
      </c>
      <c r="K35" s="71">
        <v>39</v>
      </c>
      <c r="L35" s="71" t="s">
        <v>152</v>
      </c>
      <c r="M35" s="71">
        <v>21</v>
      </c>
      <c r="N35" s="71">
        <v>30</v>
      </c>
    </row>
    <row r="36" spans="1:14">
      <c r="A36" s="70" t="s">
        <v>232</v>
      </c>
      <c r="B36" s="134"/>
      <c r="C36" s="71">
        <v>787</v>
      </c>
      <c r="D36" s="71">
        <v>397</v>
      </c>
      <c r="E36" s="71">
        <v>82</v>
      </c>
      <c r="F36" s="71">
        <v>93</v>
      </c>
      <c r="G36" s="71" t="s">
        <v>152</v>
      </c>
      <c r="H36" s="71">
        <v>104</v>
      </c>
      <c r="I36" s="71">
        <v>129</v>
      </c>
      <c r="J36" s="71">
        <v>232</v>
      </c>
      <c r="K36" s="71">
        <v>72</v>
      </c>
      <c r="L36" s="71" t="s">
        <v>152</v>
      </c>
      <c r="M36" s="71">
        <v>29</v>
      </c>
      <c r="N36" s="71">
        <v>57</v>
      </c>
    </row>
    <row r="37" spans="1:14">
      <c r="A37" s="70" t="s">
        <v>233</v>
      </c>
      <c r="B37" s="134"/>
      <c r="C37" s="71">
        <v>157</v>
      </c>
      <c r="D37" s="71">
        <v>78</v>
      </c>
      <c r="E37" s="71">
        <v>25</v>
      </c>
      <c r="F37" s="71">
        <v>25</v>
      </c>
      <c r="G37" s="71" t="s">
        <v>152</v>
      </c>
      <c r="H37" s="71">
        <v>10</v>
      </c>
      <c r="I37" s="71">
        <v>17</v>
      </c>
      <c r="J37" s="71">
        <v>27</v>
      </c>
      <c r="K37" s="71">
        <v>0</v>
      </c>
      <c r="L37" s="71" t="s">
        <v>152</v>
      </c>
      <c r="M37" s="71">
        <v>0</v>
      </c>
      <c r="N37" s="71">
        <v>0</v>
      </c>
    </row>
    <row r="38" spans="1:14">
      <c r="A38" s="70" t="s">
        <v>234</v>
      </c>
      <c r="B38" s="134"/>
      <c r="C38" s="71">
        <v>17</v>
      </c>
      <c r="D38" s="71">
        <v>4</v>
      </c>
      <c r="E38" s="71">
        <v>3</v>
      </c>
      <c r="F38" s="71">
        <v>3</v>
      </c>
      <c r="G38" s="71">
        <v>2</v>
      </c>
      <c r="H38" s="71">
        <v>1</v>
      </c>
      <c r="I38" s="71">
        <v>10</v>
      </c>
      <c r="J38" s="71">
        <v>2</v>
      </c>
      <c r="K38" s="71">
        <v>2</v>
      </c>
      <c r="L38" s="71">
        <v>0</v>
      </c>
      <c r="M38" s="71">
        <v>0</v>
      </c>
      <c r="N38" s="71">
        <v>0</v>
      </c>
    </row>
    <row r="39" spans="1:14">
      <c r="A39" s="70" t="s">
        <v>235</v>
      </c>
      <c r="B39" s="134"/>
      <c r="C39" s="71">
        <v>23</v>
      </c>
      <c r="D39" s="71">
        <v>2</v>
      </c>
      <c r="E39" s="71">
        <v>5</v>
      </c>
      <c r="F39" s="71">
        <v>6</v>
      </c>
      <c r="G39" s="71">
        <v>3</v>
      </c>
      <c r="H39" s="71">
        <v>2</v>
      </c>
      <c r="I39" s="71">
        <v>401</v>
      </c>
      <c r="J39" s="71">
        <v>0</v>
      </c>
      <c r="K39" s="71">
        <v>1</v>
      </c>
      <c r="L39" s="71">
        <v>2</v>
      </c>
      <c r="M39" s="71">
        <v>0</v>
      </c>
      <c r="N39" s="71">
        <v>0</v>
      </c>
    </row>
    <row r="40" spans="1:14">
      <c r="A40" s="70" t="s">
        <v>236</v>
      </c>
      <c r="B40" s="134"/>
      <c r="C40" s="71">
        <v>48</v>
      </c>
      <c r="D40" s="71">
        <v>5</v>
      </c>
      <c r="E40" s="71">
        <v>72</v>
      </c>
      <c r="F40" s="71">
        <v>242</v>
      </c>
      <c r="G40" s="71">
        <v>48</v>
      </c>
      <c r="H40" s="71">
        <v>28</v>
      </c>
      <c r="I40" s="71">
        <v>216</v>
      </c>
      <c r="J40" s="71">
        <v>5</v>
      </c>
      <c r="K40" s="71">
        <v>6</v>
      </c>
      <c r="L40" s="71">
        <v>0</v>
      </c>
      <c r="M40" s="71">
        <v>0</v>
      </c>
      <c r="N40" s="71">
        <v>3</v>
      </c>
    </row>
    <row r="41" spans="1:14">
      <c r="A41" s="70" t="s">
        <v>237</v>
      </c>
      <c r="B41" s="134"/>
      <c r="C41" s="71">
        <v>986</v>
      </c>
      <c r="D41" s="71">
        <v>384</v>
      </c>
      <c r="E41" s="71">
        <v>512</v>
      </c>
      <c r="F41" s="71">
        <v>689</v>
      </c>
      <c r="G41" s="71">
        <v>99</v>
      </c>
      <c r="H41" s="71">
        <v>246</v>
      </c>
      <c r="I41" s="71">
        <v>608</v>
      </c>
      <c r="J41" s="71">
        <v>229</v>
      </c>
      <c r="K41" s="71">
        <v>294</v>
      </c>
      <c r="L41" s="71">
        <v>165</v>
      </c>
      <c r="M41" s="71">
        <v>179</v>
      </c>
      <c r="N41" s="71">
        <v>155</v>
      </c>
    </row>
    <row r="42" spans="1:14">
      <c r="A42" s="70" t="s">
        <v>238</v>
      </c>
      <c r="B42" s="134"/>
      <c r="C42" s="71">
        <v>5320</v>
      </c>
      <c r="D42" s="71">
        <v>1300</v>
      </c>
      <c r="E42" s="71">
        <v>2081</v>
      </c>
      <c r="F42" s="71">
        <v>2150</v>
      </c>
      <c r="G42" s="71">
        <v>11</v>
      </c>
      <c r="H42" s="71">
        <v>1150</v>
      </c>
      <c r="I42" s="71">
        <v>1210</v>
      </c>
      <c r="J42" s="71">
        <v>4030</v>
      </c>
      <c r="K42" s="71">
        <v>2150</v>
      </c>
      <c r="L42" s="71">
        <v>976</v>
      </c>
      <c r="M42" s="71">
        <v>1540</v>
      </c>
      <c r="N42" s="71">
        <v>1210</v>
      </c>
    </row>
    <row r="43" spans="1:14">
      <c r="A43" s="70" t="s">
        <v>239</v>
      </c>
      <c r="B43" s="134"/>
      <c r="C43" s="71">
        <v>203</v>
      </c>
      <c r="D43" s="71">
        <v>17</v>
      </c>
      <c r="E43" s="71">
        <v>103</v>
      </c>
      <c r="F43" s="71">
        <v>236</v>
      </c>
      <c r="G43" s="71">
        <v>6</v>
      </c>
      <c r="H43" s="71">
        <v>16</v>
      </c>
      <c r="I43" s="71">
        <v>124</v>
      </c>
      <c r="J43" s="71">
        <v>148</v>
      </c>
      <c r="K43" s="71">
        <v>85</v>
      </c>
      <c r="L43" s="71">
        <v>21</v>
      </c>
      <c r="M43" s="71">
        <v>25</v>
      </c>
      <c r="N43" s="71">
        <v>32</v>
      </c>
    </row>
    <row r="44" spans="1:14">
      <c r="A44" s="70" t="s">
        <v>240</v>
      </c>
      <c r="B44" s="134"/>
      <c r="C44" s="71">
        <v>74</v>
      </c>
      <c r="D44" s="71">
        <v>0</v>
      </c>
      <c r="E44" s="71">
        <v>21</v>
      </c>
      <c r="F44" s="71">
        <v>24</v>
      </c>
      <c r="G44" s="71">
        <v>10</v>
      </c>
      <c r="H44" s="71">
        <v>7</v>
      </c>
      <c r="I44" s="71">
        <v>6</v>
      </c>
      <c r="J44" s="71">
        <v>19</v>
      </c>
      <c r="K44" s="71">
        <v>18</v>
      </c>
      <c r="L44" s="71">
        <v>0</v>
      </c>
      <c r="M44" s="71">
        <v>0</v>
      </c>
      <c r="N44" s="71">
        <v>0</v>
      </c>
    </row>
    <row r="45" spans="1:14">
      <c r="A45" s="70" t="s">
        <v>241</v>
      </c>
      <c r="B45" s="134"/>
      <c r="C45" s="71">
        <v>29</v>
      </c>
      <c r="D45" s="71">
        <v>0</v>
      </c>
      <c r="E45" s="71">
        <v>7</v>
      </c>
      <c r="F45" s="71">
        <v>29</v>
      </c>
      <c r="G45" s="71">
        <v>31</v>
      </c>
      <c r="H45" s="71">
        <v>2</v>
      </c>
      <c r="I45" s="71">
        <v>24</v>
      </c>
      <c r="J45" s="71">
        <v>1</v>
      </c>
      <c r="K45" s="71">
        <v>2</v>
      </c>
      <c r="L45" s="71">
        <v>0</v>
      </c>
      <c r="M45" s="71">
        <v>0</v>
      </c>
      <c r="N45" s="71">
        <v>0</v>
      </c>
    </row>
    <row r="46" spans="1:14">
      <c r="A46" s="70" t="s">
        <v>242</v>
      </c>
      <c r="B46" s="134"/>
      <c r="C46" s="71">
        <v>41</v>
      </c>
      <c r="D46" s="71">
        <v>4</v>
      </c>
      <c r="E46" s="71">
        <v>12</v>
      </c>
      <c r="F46" s="71">
        <v>25</v>
      </c>
      <c r="G46" s="71">
        <v>134</v>
      </c>
      <c r="H46" s="71">
        <v>2</v>
      </c>
      <c r="I46" s="71">
        <v>92</v>
      </c>
      <c r="J46" s="71">
        <v>3</v>
      </c>
      <c r="K46" s="71">
        <v>2</v>
      </c>
      <c r="L46" s="71">
        <v>0</v>
      </c>
      <c r="M46" s="71">
        <v>0</v>
      </c>
      <c r="N46" s="71">
        <v>0</v>
      </c>
    </row>
    <row r="47" spans="1:14">
      <c r="A47" s="70" t="s">
        <v>243</v>
      </c>
      <c r="B47" s="134"/>
      <c r="C47" s="71">
        <v>63</v>
      </c>
      <c r="D47" s="71">
        <v>0</v>
      </c>
      <c r="E47" s="71">
        <v>7</v>
      </c>
      <c r="F47" s="71">
        <v>11</v>
      </c>
      <c r="G47" s="71">
        <v>7280</v>
      </c>
      <c r="H47" s="71">
        <v>21</v>
      </c>
      <c r="I47" s="71">
        <v>99</v>
      </c>
      <c r="J47" s="71">
        <v>2</v>
      </c>
      <c r="K47" s="71">
        <v>2</v>
      </c>
      <c r="L47" s="71">
        <v>1</v>
      </c>
      <c r="M47" s="71">
        <v>0</v>
      </c>
      <c r="N47" s="71">
        <v>0</v>
      </c>
    </row>
    <row r="48" spans="1:14">
      <c r="A48" s="70" t="s">
        <v>244</v>
      </c>
      <c r="B48" s="134"/>
      <c r="C48" s="71">
        <v>840</v>
      </c>
      <c r="D48" s="71">
        <v>94</v>
      </c>
      <c r="E48" s="71">
        <v>175</v>
      </c>
      <c r="F48" s="71">
        <v>296</v>
      </c>
      <c r="G48" s="71">
        <v>4960</v>
      </c>
      <c r="H48" s="71">
        <v>203</v>
      </c>
      <c r="I48" s="71">
        <v>462</v>
      </c>
      <c r="J48" s="71">
        <v>162</v>
      </c>
      <c r="K48" s="71">
        <v>211</v>
      </c>
      <c r="L48" s="71">
        <v>82</v>
      </c>
      <c r="M48" s="71">
        <v>60</v>
      </c>
      <c r="N48" s="71">
        <v>76</v>
      </c>
    </row>
    <row r="49" spans="1:14">
      <c r="A49" s="70" t="s">
        <v>245</v>
      </c>
      <c r="B49" s="134"/>
      <c r="C49" s="71">
        <v>2080</v>
      </c>
      <c r="D49" s="71">
        <v>294</v>
      </c>
      <c r="E49" s="71">
        <v>315</v>
      </c>
      <c r="F49" s="71">
        <v>639</v>
      </c>
      <c r="G49" s="71">
        <v>8</v>
      </c>
      <c r="H49" s="71">
        <v>389</v>
      </c>
      <c r="I49" s="71">
        <v>509</v>
      </c>
      <c r="J49" s="71">
        <v>590</v>
      </c>
      <c r="K49" s="71">
        <v>595</v>
      </c>
      <c r="L49" s="71">
        <v>203</v>
      </c>
      <c r="M49" s="71">
        <v>260</v>
      </c>
      <c r="N49" s="71">
        <v>297</v>
      </c>
    </row>
    <row r="50" spans="1:14">
      <c r="A50" s="70" t="s">
        <v>246</v>
      </c>
      <c r="B50" s="134"/>
      <c r="C50" s="71">
        <v>191</v>
      </c>
      <c r="D50" s="71">
        <v>14</v>
      </c>
      <c r="E50" s="71">
        <v>55</v>
      </c>
      <c r="F50" s="71">
        <v>95</v>
      </c>
      <c r="G50" s="71">
        <v>9</v>
      </c>
      <c r="H50" s="71">
        <v>19</v>
      </c>
      <c r="I50" s="71">
        <v>131</v>
      </c>
      <c r="J50" s="71">
        <v>121</v>
      </c>
      <c r="K50" s="71">
        <v>80</v>
      </c>
      <c r="L50" s="71">
        <v>15</v>
      </c>
      <c r="M50" s="71">
        <v>24</v>
      </c>
      <c r="N50" s="71">
        <v>26</v>
      </c>
    </row>
    <row r="51" spans="1:14">
      <c r="A51" s="70" t="s">
        <v>247</v>
      </c>
      <c r="B51" s="134"/>
      <c r="C51" s="71">
        <v>46</v>
      </c>
      <c r="D51" s="71">
        <v>6</v>
      </c>
      <c r="E51" s="71">
        <v>12</v>
      </c>
      <c r="F51" s="71">
        <v>18</v>
      </c>
      <c r="G51" s="71">
        <v>8</v>
      </c>
      <c r="H51" s="71">
        <v>43</v>
      </c>
      <c r="I51" s="71">
        <v>239</v>
      </c>
      <c r="J51" s="71">
        <v>0</v>
      </c>
      <c r="K51" s="71">
        <v>0</v>
      </c>
      <c r="L51" s="71">
        <v>0</v>
      </c>
      <c r="M51" s="71">
        <v>0</v>
      </c>
      <c r="N51" s="71">
        <v>0</v>
      </c>
    </row>
    <row r="52" spans="1:14">
      <c r="A52" s="70" t="s">
        <v>248</v>
      </c>
      <c r="B52" s="134"/>
      <c r="C52" s="71">
        <v>321</v>
      </c>
      <c r="D52" s="71">
        <v>0</v>
      </c>
      <c r="E52" s="71">
        <v>52</v>
      </c>
      <c r="F52" s="71">
        <v>39</v>
      </c>
      <c r="G52" s="71">
        <v>0</v>
      </c>
      <c r="H52" s="71">
        <v>0</v>
      </c>
      <c r="I52" s="71">
        <v>0</v>
      </c>
      <c r="J52" s="71">
        <v>0</v>
      </c>
      <c r="K52" s="71">
        <v>0</v>
      </c>
      <c r="L52" s="71">
        <v>0</v>
      </c>
      <c r="M52" s="71">
        <v>0</v>
      </c>
      <c r="N52" s="71">
        <v>0</v>
      </c>
    </row>
    <row r="53" spans="1:14">
      <c r="A53" s="70" t="s">
        <v>249</v>
      </c>
      <c r="B53" s="134"/>
      <c r="C53" s="71">
        <v>873</v>
      </c>
      <c r="D53" s="71">
        <v>0</v>
      </c>
      <c r="E53" s="71">
        <v>1291</v>
      </c>
      <c r="F53" s="71">
        <v>1669</v>
      </c>
      <c r="G53" s="71">
        <v>0</v>
      </c>
      <c r="H53" s="71">
        <v>485</v>
      </c>
      <c r="I53" s="71">
        <v>1484</v>
      </c>
      <c r="J53" s="71">
        <v>882</v>
      </c>
      <c r="K53" s="71">
        <v>728</v>
      </c>
      <c r="L53" s="71">
        <v>0</v>
      </c>
      <c r="M53" s="71">
        <v>300</v>
      </c>
      <c r="N53" s="71">
        <v>391</v>
      </c>
    </row>
    <row r="54" spans="1:14">
      <c r="A54" s="70" t="s">
        <v>250</v>
      </c>
      <c r="B54" s="134"/>
      <c r="C54" s="71">
        <v>2754</v>
      </c>
      <c r="D54" s="71">
        <v>0</v>
      </c>
      <c r="E54" s="71">
        <v>1339</v>
      </c>
      <c r="F54" s="71">
        <v>1082</v>
      </c>
      <c r="G54" s="71">
        <v>0</v>
      </c>
      <c r="H54" s="71">
        <v>269</v>
      </c>
      <c r="I54" s="71">
        <v>509</v>
      </c>
      <c r="J54" s="71">
        <v>200</v>
      </c>
      <c r="K54" s="71">
        <v>127</v>
      </c>
      <c r="L54" s="71">
        <v>0</v>
      </c>
      <c r="M54" s="71">
        <v>146</v>
      </c>
      <c r="N54" s="71">
        <v>179</v>
      </c>
    </row>
    <row r="55" spans="1:14">
      <c r="A55" s="70" t="s">
        <v>251</v>
      </c>
      <c r="B55" s="134"/>
      <c r="C55" s="71">
        <v>22</v>
      </c>
      <c r="D55" s="71">
        <v>0</v>
      </c>
      <c r="E55" s="71">
        <v>46</v>
      </c>
      <c r="F55" s="71">
        <v>25</v>
      </c>
      <c r="G55" s="71">
        <v>0</v>
      </c>
      <c r="H55" s="71">
        <v>0</v>
      </c>
      <c r="I55" s="71">
        <v>0</v>
      </c>
      <c r="J55" s="71">
        <v>0</v>
      </c>
      <c r="K55" s="71">
        <v>0</v>
      </c>
      <c r="L55" s="71">
        <v>0</v>
      </c>
      <c r="M55" s="71">
        <v>0</v>
      </c>
      <c r="N55" s="71">
        <v>0</v>
      </c>
    </row>
    <row r="56" spans="1:14">
      <c r="A56" s="70" t="s">
        <v>252</v>
      </c>
      <c r="B56" s="134"/>
      <c r="C56" s="71">
        <v>406</v>
      </c>
      <c r="D56" s="71">
        <v>0</v>
      </c>
      <c r="E56" s="71">
        <v>598</v>
      </c>
      <c r="F56" s="71">
        <v>693</v>
      </c>
      <c r="G56" s="71">
        <v>0</v>
      </c>
      <c r="H56" s="71">
        <v>226</v>
      </c>
      <c r="I56" s="71">
        <v>436</v>
      </c>
      <c r="J56" s="71">
        <v>321</v>
      </c>
      <c r="K56" s="71">
        <v>223</v>
      </c>
      <c r="L56" s="71">
        <v>0</v>
      </c>
      <c r="M56" s="71">
        <v>135</v>
      </c>
      <c r="N56" s="71">
        <v>156</v>
      </c>
    </row>
    <row r="57" spans="1:14">
      <c r="A57" s="70" t="s">
        <v>253</v>
      </c>
      <c r="B57" s="136"/>
      <c r="C57" s="71">
        <v>313</v>
      </c>
      <c r="D57" s="71">
        <v>0</v>
      </c>
      <c r="E57" s="71">
        <v>2075</v>
      </c>
      <c r="F57" s="71">
        <v>1727</v>
      </c>
      <c r="G57" s="71">
        <v>0</v>
      </c>
      <c r="H57" s="71">
        <v>803</v>
      </c>
      <c r="I57" s="71">
        <v>965</v>
      </c>
      <c r="J57" s="71">
        <v>430</v>
      </c>
      <c r="K57" s="71">
        <v>275</v>
      </c>
      <c r="L57" s="71">
        <v>0</v>
      </c>
      <c r="M57" s="71">
        <v>260</v>
      </c>
      <c r="N57" s="71">
        <v>298</v>
      </c>
    </row>
  </sheetData>
  <mergeCells count="3">
    <mergeCell ref="C1:N1"/>
    <mergeCell ref="B3:B24"/>
    <mergeCell ref="B25:B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gingko ash</vt:lpstr>
      <vt:lpstr>cycads ash</vt:lpstr>
      <vt:lpstr>marri ash</vt:lpstr>
      <vt:lpstr>2x13C computation-FINAL</vt:lpstr>
      <vt:lpstr>2x13C computation-v2</vt:lpstr>
      <vt:lpstr>2x13C computation-v1</vt:lpstr>
      <vt:lpstr>Karp 2020 vals</vt:lpstr>
      <vt:lpstr>Karp 2020 concentrations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Zeichner, Sarah</cp:lastModifiedBy>
  <dcterms:created xsi:type="dcterms:W3CDTF">2022-09-21T18:20:58Z</dcterms:created>
  <dcterms:modified xsi:type="dcterms:W3CDTF">2023-10-21T16:35:18Z</dcterms:modified>
</cp:coreProperties>
</file>