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Science submission/Revision/"/>
    </mc:Choice>
  </mc:AlternateContent>
  <xr:revisionPtr revIDLastSave="0" documentId="13_ncr:1_{50AE6034-4ED8-BC47-A2DD-E4A6AF869C4D}" xr6:coauthVersionLast="47" xr6:coauthVersionMax="47" xr10:uidLastSave="{00000000-0000-0000-0000-000000000000}"/>
  <bookViews>
    <workbookView xWindow="3480" yWindow="500" windowWidth="25760" windowHeight="20500" activeTab="2" xr2:uid="{441ADE78-3FB4-FB40-9A57-4F48BF58F0E7}"/>
  </bookViews>
  <sheets>
    <sheet name="processed data" sheetId="5" r:id="rId1"/>
    <sheet name="time frames" sheetId="1" r:id="rId2"/>
    <sheet name="2x13C calculations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E7" i="5"/>
  <c r="D7" i="5"/>
  <c r="D17" i="5"/>
  <c r="D27" i="5"/>
  <c r="D37" i="5"/>
  <c r="D28" i="5"/>
  <c r="E27" i="5" l="1"/>
  <c r="E39" i="5" l="1"/>
  <c r="E19" i="5"/>
  <c r="D18" i="5"/>
  <c r="E37" i="5"/>
  <c r="E36" i="5"/>
  <c r="E17" i="5"/>
  <c r="E16" i="5"/>
  <c r="E26" i="6" s="1"/>
  <c r="H43" i="5"/>
  <c r="C32" i="6" s="1"/>
  <c r="D8" i="5"/>
  <c r="H42" i="5" s="1"/>
  <c r="C31" i="6" s="1"/>
  <c r="E31" i="6"/>
  <c r="G31" i="6" s="1"/>
  <c r="E32" i="6"/>
  <c r="G32" i="6" s="1"/>
  <c r="E27" i="6"/>
  <c r="D32" i="6"/>
  <c r="D36" i="5"/>
  <c r="D27" i="6" s="1"/>
  <c r="D31" i="6"/>
  <c r="D16" i="5"/>
  <c r="D26" i="6" s="1"/>
  <c r="C27" i="6"/>
  <c r="C26" i="6"/>
  <c r="B27" i="6"/>
  <c r="B26" i="6"/>
  <c r="B18" i="6"/>
  <c r="B17" i="6"/>
  <c r="B16" i="6"/>
  <c r="B15" i="6"/>
  <c r="B14" i="6"/>
  <c r="B13" i="6"/>
  <c r="B12" i="6"/>
  <c r="B11" i="6"/>
  <c r="B10" i="6"/>
  <c r="B3" i="6"/>
  <c r="B5" i="6" s="1"/>
  <c r="G50" i="5"/>
  <c r="F50" i="5"/>
  <c r="G49" i="5"/>
  <c r="F49" i="5"/>
  <c r="D43" i="5"/>
  <c r="D42" i="5"/>
  <c r="E43" i="5"/>
  <c r="E42" i="5"/>
  <c r="D38" i="5" l="1"/>
  <c r="D39" i="5" s="1"/>
  <c r="H4" i="6"/>
  <c r="B4" i="6"/>
  <c r="C12" i="6" s="1"/>
  <c r="D12" i="6" s="1"/>
  <c r="E12" i="6" s="1"/>
  <c r="F12" i="6" s="1"/>
  <c r="G12" i="6" s="1"/>
  <c r="H12" i="6" s="1"/>
  <c r="F4" i="6"/>
  <c r="C15" i="6"/>
  <c r="D15" i="6" s="1"/>
  <c r="E15" i="6" s="1"/>
  <c r="F15" i="6" s="1"/>
  <c r="G15" i="6" s="1"/>
  <c r="H15" i="6" s="1"/>
  <c r="G4" i="6"/>
  <c r="F3" i="6"/>
  <c r="G3" i="6"/>
  <c r="H3" i="6"/>
  <c r="F43" i="5"/>
  <c r="G43" i="5" s="1"/>
  <c r="B32" i="6" s="1"/>
  <c r="A20" i="6" s="1"/>
  <c r="B20" i="6" s="1"/>
  <c r="F42" i="5"/>
  <c r="G42" i="5" s="1"/>
  <c r="B31" i="6" s="1"/>
  <c r="A19" i="6" s="1"/>
  <c r="B19" i="6" s="1"/>
  <c r="C11" i="6" l="1"/>
  <c r="D11" i="6" s="1"/>
  <c r="E11" i="6" s="1"/>
  <c r="F11" i="6" s="1"/>
  <c r="G11" i="6" s="1"/>
  <c r="H11" i="6" s="1"/>
  <c r="C19" i="6"/>
  <c r="D19" i="6" s="1"/>
  <c r="E19" i="6" s="1"/>
  <c r="F19" i="6" s="1"/>
  <c r="G19" i="6" s="1"/>
  <c r="H19" i="6" s="1"/>
  <c r="C18" i="6"/>
  <c r="D18" i="6" s="1"/>
  <c r="E18" i="6" s="1"/>
  <c r="F18" i="6" s="1"/>
  <c r="G18" i="6" s="1"/>
  <c r="H18" i="6" s="1"/>
  <c r="C10" i="6"/>
  <c r="D10" i="6" s="1"/>
  <c r="E10" i="6" s="1"/>
  <c r="F10" i="6" s="1"/>
  <c r="G10" i="6" s="1"/>
  <c r="H10" i="6" s="1"/>
  <c r="C13" i="6"/>
  <c r="D13" i="6" s="1"/>
  <c r="E13" i="6" s="1"/>
  <c r="F13" i="6" s="1"/>
  <c r="G13" i="6" s="1"/>
  <c r="H13" i="6" s="1"/>
  <c r="C16" i="6"/>
  <c r="D16" i="6" s="1"/>
  <c r="E16" i="6" s="1"/>
  <c r="F16" i="6" s="1"/>
  <c r="G16" i="6" s="1"/>
  <c r="H16" i="6" s="1"/>
  <c r="C5" i="6"/>
  <c r="C17" i="6"/>
  <c r="D17" i="6" s="1"/>
  <c r="E17" i="6" s="1"/>
  <c r="F17" i="6" s="1"/>
  <c r="G17" i="6" s="1"/>
  <c r="H17" i="6" s="1"/>
  <c r="C20" i="6"/>
  <c r="D20" i="6" s="1"/>
  <c r="E20" i="6" s="1"/>
  <c r="F20" i="6" s="1"/>
  <c r="G20" i="6" s="1"/>
  <c r="H20" i="6" s="1"/>
  <c r="C14" i="6"/>
  <c r="D14" i="6" s="1"/>
  <c r="E14" i="6" s="1"/>
  <c r="F14" i="6" s="1"/>
  <c r="G14" i="6" s="1"/>
  <c r="H14" i="6" s="1"/>
  <c r="F27" i="6" l="1"/>
  <c r="F32" i="6" s="1"/>
  <c r="F26" i="6"/>
  <c r="I20" i="6"/>
  <c r="J20" i="6" s="1"/>
  <c r="I15" i="6"/>
  <c r="J15" i="6" s="1"/>
  <c r="I11" i="6"/>
  <c r="J11" i="6" s="1"/>
  <c r="I16" i="6"/>
  <c r="J16" i="6" s="1"/>
  <c r="I13" i="6" l="1"/>
  <c r="J13" i="6" s="1"/>
  <c r="G26" i="6"/>
  <c r="F31" i="6"/>
  <c r="I14" i="6"/>
  <c r="J14" i="6" s="1"/>
  <c r="I12" i="6"/>
  <c r="J12" i="6" s="1"/>
  <c r="I10" i="6"/>
  <c r="J10" i="6" s="1"/>
  <c r="I17" i="6"/>
  <c r="J17" i="6" s="1"/>
  <c r="I19" i="6"/>
  <c r="J19" i="6" s="1"/>
  <c r="I18" i="6"/>
  <c r="J18" i="6" s="1"/>
  <c r="G27" i="6"/>
</calcChain>
</file>

<file path=xl/sharedStrings.xml><?xml version="1.0" encoding="utf-8"?>
<sst xmlns="http://schemas.openxmlformats.org/spreadsheetml/2006/main" count="161" uniqueCount="92">
  <si>
    <t>Fluoranthene</t>
  </si>
  <si>
    <t>Pyrene</t>
  </si>
  <si>
    <t>#peakTimeFrames = [(32.80, 33.50)] #fluoranthene large window</t>
  </si>
  <si>
    <t>#peakTimeFrames = [(34.36, 35.12)] #pyrene large windowxylene</t>
  </si>
  <si>
    <t>#peakTimeFrames = [(32.65, 33.35), (32.65, 33.35), (32.65, 33.35)] #fluoranthene large window</t>
  </si>
  <si>
    <t>#peakTimeFrames = [(34.15, 34.80), (34.15, 34.80), (34.15, 34.80)] #pyrene large window</t>
  </si>
  <si>
    <t>12062016_Murchison2</t>
  </si>
  <si>
    <t>12062016_Murchison_3</t>
  </si>
  <si>
    <t>12062016_Murchison_4</t>
  </si>
  <si>
    <t>12022016_Pyrene_Fluouranthene_3</t>
  </si>
  <si>
    <t>12062016_Pyrene_Fluoranthene_4</t>
  </si>
  <si>
    <t>32.85-33.19</t>
  </si>
  <si>
    <t>32.85-33.20</t>
  </si>
  <si>
    <t>Fragment</t>
  </si>
  <si>
    <t>IsotopeRatio</t>
  </si>
  <si>
    <t>IntegratedIsotopeRatio</t>
  </si>
  <si>
    <t>Average</t>
  </si>
  <si>
    <t>StdDev</t>
  </si>
  <si>
    <t>StdError</t>
  </si>
  <si>
    <t>RelStdError</t>
  </si>
  <si>
    <t>TICVar</t>
  </si>
  <si>
    <t>TIC*ITVar</t>
  </si>
  <si>
    <t>TIC*ITMean</t>
  </si>
  <si>
    <t>SumTotalCounts</t>
  </si>
  <si>
    <t>ShotNoise</t>
  </si>
  <si>
    <t>/Users/sarahzeichner/Documents/Caltech/Research/Hayabusa2/Science submission/Revision/MurchDirectElution/Murch3and4_Std3/12022016_Pyrene_Fluouranthene_3.txt</t>
  </si>
  <si>
    <t>13C/UnSub</t>
  </si>
  <si>
    <t>/Users/sarahzeichner/Documents/Caltech/Research/Hayabusa2/Science submission/Revision/MurchDirectElution/Murch3and4_Std3/12062016_Murchison_3.txt</t>
  </si>
  <si>
    <t>/Users/sarahzeichner/Documents/Caltech/Research/Hayabusa2/Science submission/Revision/MurchDirectElution/Murch3and4_Std3/12062016_Murchison_4.txt</t>
  </si>
  <si>
    <t>/Users/sarahzeichner/Documents/Caltech/Research/Hayabusa2/Science submission/Revision/MurchDirectElution/Murch3and4_Std3/12062016_Pyrene_Fluoranthene_4.txt</t>
  </si>
  <si>
    <t>2x13C/UnSub</t>
  </si>
  <si>
    <t>/Users/sarahzeichner/Documents/Caltech/Research/Hayabusa2/Science submission/Revision/MurchDirectElution/Murch3and4_Std3and4/12022016_Pyrene_Fluouranthene_3.txt</t>
  </si>
  <si>
    <t>/Users/sarahzeichner/Documents/Caltech/Research/Hayabusa2/Science submission/Revision/MurchDirectElution/Murch3and4_Std3and4/12062016_Murchison_3.txt</t>
  </si>
  <si>
    <t>/Users/sarahzeichner/Documents/Caltech/Research/Hayabusa2/Science submission/Revision/MurchDirectElution/Murch3and4_Std3and4/12062016_Murchison_4.txt</t>
  </si>
  <si>
    <t>/Users/sarahzeichner/Documents/Caltech/Research/Hayabusa2/Science submission/Revision/MurchDirectElution/Murch3and4_Std3and4/12062016_Pyrene_Fluoranthene_4.txt</t>
  </si>
  <si>
    <t>error</t>
  </si>
  <si>
    <t>R value</t>
  </si>
  <si>
    <t>naraoka et al 2000</t>
  </si>
  <si>
    <t>murch</t>
  </si>
  <si>
    <t>terrestrial</t>
  </si>
  <si>
    <t>Rsa/std(murch)</t>
  </si>
  <si>
    <t>Rsa/std(terrestrial)</t>
  </si>
  <si>
    <t>fluoranthene</t>
  </si>
  <si>
    <t>pyrene</t>
  </si>
  <si>
    <t>conversion to PDB:</t>
  </si>
  <si>
    <t>std (avg, n=3)</t>
  </si>
  <si>
    <t>std (s)</t>
  </si>
  <si>
    <t>R terrestrial 13C</t>
  </si>
  <si>
    <t>R murch 13C</t>
  </si>
  <si>
    <t>d13C</t>
  </si>
  <si>
    <t>32.97 - 33.27</t>
  </si>
  <si>
    <t>34.5 - 35.85</t>
  </si>
  <si>
    <t>/Users/sarahzeichner/Documents/Caltech/Research/Hayabusa2/Science submission/Revision/MurchDirectElution/Murch 2/12062016_Murchison2.txt</t>
  </si>
  <si>
    <t>34.3-34.73</t>
  </si>
  <si>
    <t>34.3-34.74</t>
  </si>
  <si>
    <t>34.3-34.75</t>
  </si>
  <si>
    <t>34.3-34.76</t>
  </si>
  <si>
    <t>Natural abundance</t>
  </si>
  <si>
    <t>fluor, pyrene</t>
  </si>
  <si>
    <t>phenanthrene, anthracene</t>
  </si>
  <si>
    <t>napthalene</t>
  </si>
  <si>
    <t>[13C]</t>
  </si>
  <si>
    <t>number of C</t>
  </si>
  <si>
    <t>[12C]</t>
  </si>
  <si>
    <t>singly sub 13C</t>
  </si>
  <si>
    <t>R [13C/12C] natural</t>
  </si>
  <si>
    <t>doubly sub 13C</t>
  </si>
  <si>
    <t>R [2x13C]</t>
  </si>
  <si>
    <t>Terrestrial fractionation lines</t>
  </si>
  <si>
    <t>delta</t>
  </si>
  <si>
    <t>R (sa/std)</t>
  </si>
  <si>
    <t>R sample (13C/12C)</t>
  </si>
  <si>
    <t>[2x13C] - 16 C</t>
  </si>
  <si>
    <t>R - 16C</t>
  </si>
  <si>
    <t>16C combination</t>
  </si>
  <si>
    <t>within measurement ref frame</t>
  </si>
  <si>
    <t>Standard constraints</t>
  </si>
  <si>
    <t>d13C vpdb (EA)</t>
  </si>
  <si>
    <t>SE (d13C, from EA)</t>
  </si>
  <si>
    <t>2x13C (Orbitrap)</t>
  </si>
  <si>
    <t>SE (2x13C, Orbitrap)</t>
  </si>
  <si>
    <t>Computed offset from fractionation</t>
  </si>
  <si>
    <t>Corrected value</t>
  </si>
  <si>
    <t>Measurements - HB2</t>
  </si>
  <si>
    <t>Murchison - avg</t>
  </si>
  <si>
    <t>Murchison - SE</t>
  </si>
  <si>
    <t>R value - standard</t>
  </si>
  <si>
    <t>R value - sample</t>
  </si>
  <si>
    <t>mean</t>
  </si>
  <si>
    <t>SE</t>
  </si>
  <si>
    <t>D_2x13C</t>
  </si>
  <si>
    <t>2x13C, corrected (Orbitrap)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</si>
</sst>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0">
    <xf numFmtId="0" fontId="0" fillId="0" borderId="0" xfId="0"/>
    <xf numFmtId="0" fontId="5" fillId="0" borderId="0" xfId="0" applyFont="1"/>
    <xf numFmtId="0" fontId="0" fillId="4" borderId="0" xfId="0" applyFill="1"/>
    <xf numFmtId="0" fontId="0" fillId="0" borderId="0" xfId="0" applyFill="1"/>
    <xf numFmtId="0" fontId="8" fillId="0" borderId="0" xfId="0" applyFont="1"/>
    <xf numFmtId="0" fontId="7" fillId="0" borderId="0" xfId="0" applyFont="1"/>
    <xf numFmtId="0" fontId="8" fillId="5" borderId="0" xfId="0" applyFont="1" applyFill="1"/>
    <xf numFmtId="0" fontId="4" fillId="3" borderId="2" xfId="2" applyFont="1"/>
    <xf numFmtId="0" fontId="0" fillId="3" borderId="2" xfId="2" applyFont="1"/>
    <xf numFmtId="0" fontId="9" fillId="3" borderId="2" xfId="2" applyFont="1"/>
    <xf numFmtId="0" fontId="4" fillId="0" borderId="0" xfId="0" applyFont="1"/>
    <xf numFmtId="0" fontId="2" fillId="2" borderId="1" xfId="1"/>
    <xf numFmtId="0" fontId="8" fillId="6" borderId="0" xfId="0" applyFont="1" applyFill="1"/>
    <xf numFmtId="0" fontId="8" fillId="0" borderId="0" xfId="0" applyFont="1" applyFill="1"/>
    <xf numFmtId="0" fontId="7" fillId="0" borderId="0" xfId="0" applyFont="1" applyFill="1"/>
    <xf numFmtId="0" fontId="11" fillId="9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1" fillId="7" borderId="0" xfId="0" applyFont="1" applyFill="1" applyAlignment="1">
      <alignment horizontal="left" wrapText="1"/>
    </xf>
    <xf numFmtId="0" fontId="11" fillId="1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7" fillId="11" borderId="0" xfId="0" applyFont="1" applyFill="1"/>
    <xf numFmtId="0" fontId="0" fillId="11" borderId="0" xfId="0" applyFill="1"/>
    <xf numFmtId="0" fontId="8" fillId="11" borderId="0" xfId="0" applyFont="1" applyFill="1"/>
    <xf numFmtId="0" fontId="11" fillId="5" borderId="0" xfId="0" applyFont="1" applyFill="1" applyAlignment="1">
      <alignment horizontal="left" wrapText="1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CCD0-1A74-724E-AA05-4852B358106F}">
  <dimension ref="A1:M50"/>
  <sheetViews>
    <sheetView topLeftCell="A6" workbookViewId="0">
      <selection activeCell="H50" sqref="H50"/>
    </sheetView>
  </sheetViews>
  <sheetFormatPr baseColWidth="10" defaultRowHeight="16" x14ac:dyDescent="0.2"/>
  <cols>
    <col min="1" max="1" width="143.1640625" customWidth="1"/>
    <col min="2" max="2" width="17.6640625" customWidth="1"/>
    <col min="3" max="3" width="16.5" customWidth="1"/>
    <col min="4" max="4" width="23.5" customWidth="1"/>
    <col min="5" max="5" width="12.1640625" bestFit="1" customWidth="1"/>
  </cols>
  <sheetData>
    <row r="1" spans="1:13" x14ac:dyDescent="0.2">
      <c r="A1" s="12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 x14ac:dyDescent="0.2">
      <c r="A2" s="4" t="s">
        <v>52</v>
      </c>
      <c r="B2" s="5">
        <v>202</v>
      </c>
      <c r="C2" s="5" t="s">
        <v>26</v>
      </c>
      <c r="D2" s="5">
        <v>0.17102927938830501</v>
      </c>
      <c r="E2" s="5">
        <v>0.17066386029250599</v>
      </c>
      <c r="F2" s="5">
        <v>4.2338297458862197E-3</v>
      </c>
      <c r="G2" s="5">
        <v>9.7130715823550199E-4</v>
      </c>
      <c r="H2" s="5">
        <v>5.6913464665029204E-3</v>
      </c>
      <c r="I2" s="5">
        <v>0.67621217788421495</v>
      </c>
      <c r="J2" s="5">
        <v>5.9592548193130798E-2</v>
      </c>
      <c r="K2" s="5">
        <v>227758.21052631599</v>
      </c>
      <c r="L2" s="5">
        <v>350326.37024538399</v>
      </c>
      <c r="M2" s="5">
        <v>4.7840543657486903E-3</v>
      </c>
    </row>
    <row r="3" spans="1:13" x14ac:dyDescent="0.2">
      <c r="A3" s="4" t="s">
        <v>25</v>
      </c>
      <c r="B3" s="5">
        <v>202</v>
      </c>
      <c r="C3" s="5" t="s">
        <v>26</v>
      </c>
      <c r="D3" s="5">
        <v>0.16864995366826199</v>
      </c>
      <c r="E3" s="5">
        <v>0.16883969405351101</v>
      </c>
      <c r="F3" s="5">
        <v>4.8117372387013798E-3</v>
      </c>
      <c r="G3" s="5">
        <v>1.1341373435911899E-3</v>
      </c>
      <c r="H3" s="5">
        <v>6.7172435365332296E-3</v>
      </c>
      <c r="I3" s="5">
        <v>0.64018112249179304</v>
      </c>
      <c r="J3" s="5">
        <v>4.0622650303891499E-2</v>
      </c>
      <c r="K3" s="5">
        <v>216746</v>
      </c>
      <c r="L3" s="5">
        <v>337120.05880018498</v>
      </c>
      <c r="M3" s="5">
        <v>4.9011617564561601E-3</v>
      </c>
    </row>
    <row r="4" spans="1:13" x14ac:dyDescent="0.2">
      <c r="A4" s="4" t="s">
        <v>27</v>
      </c>
      <c r="B4" s="5">
        <v>202</v>
      </c>
      <c r="C4" s="5" t="s">
        <v>26</v>
      </c>
      <c r="D4" s="5">
        <v>0.169913778595496</v>
      </c>
      <c r="E4" s="5">
        <v>0.170561890301484</v>
      </c>
      <c r="F4" s="5">
        <v>5.8101914290298196E-3</v>
      </c>
      <c r="G4" s="5">
        <v>1.3329493306193201E-3</v>
      </c>
      <c r="H4" s="5">
        <v>7.8150478296365507E-3</v>
      </c>
      <c r="I4" s="5">
        <v>0.67393196286909596</v>
      </c>
      <c r="J4" s="5">
        <v>4.5882229523905999E-2</v>
      </c>
      <c r="K4" s="5">
        <v>226813.05263157899</v>
      </c>
      <c r="L4" s="5">
        <v>350276.86542787799</v>
      </c>
      <c r="M4" s="5">
        <v>4.7954992740950799E-3</v>
      </c>
    </row>
    <row r="5" spans="1:13" x14ac:dyDescent="0.2">
      <c r="A5" s="4" t="s">
        <v>28</v>
      </c>
      <c r="B5" s="5">
        <v>202</v>
      </c>
      <c r="C5" s="5" t="s">
        <v>26</v>
      </c>
      <c r="D5" s="5">
        <v>0.16968556046778399</v>
      </c>
      <c r="E5" s="5">
        <v>0.16999091946039399</v>
      </c>
      <c r="F5" s="5">
        <v>5.3302163609013197E-3</v>
      </c>
      <c r="G5" s="5">
        <v>1.3325540902253299E-3</v>
      </c>
      <c r="H5" s="5">
        <v>7.8389721901339793E-3</v>
      </c>
      <c r="I5" s="5">
        <v>0.59601399108781705</v>
      </c>
      <c r="J5" s="5">
        <v>2.41922286067555E-2</v>
      </c>
      <c r="K5" s="5">
        <v>222906.5</v>
      </c>
      <c r="L5" s="5">
        <v>294962.45869799901</v>
      </c>
      <c r="M5" s="5">
        <v>5.2283338673827897E-3</v>
      </c>
    </row>
    <row r="6" spans="1:13" x14ac:dyDescent="0.2">
      <c r="A6" s="4" t="s">
        <v>29</v>
      </c>
      <c r="B6" s="5">
        <v>202</v>
      </c>
      <c r="C6" s="5" t="s">
        <v>26</v>
      </c>
      <c r="D6" s="5">
        <v>0.16545112389797201</v>
      </c>
      <c r="E6" s="5">
        <v>0.166898347862908</v>
      </c>
      <c r="F6" s="5">
        <v>3.1716037994907399E-3</v>
      </c>
      <c r="G6" s="5">
        <v>9.1556315369940898E-4</v>
      </c>
      <c r="H6" s="5">
        <v>5.4857532469492097E-3</v>
      </c>
      <c r="I6" s="5">
        <v>0.72692168402143698</v>
      </c>
      <c r="J6" s="5">
        <v>2.4030869430312501E-2</v>
      </c>
      <c r="K6" s="5">
        <v>211563.66666666701</v>
      </c>
      <c r="L6" s="5">
        <v>215474.225851628</v>
      </c>
      <c r="M6" s="5">
        <v>6.1725062686340997E-3</v>
      </c>
    </row>
    <row r="7" spans="1:13" x14ac:dyDescent="0.2">
      <c r="A7" s="4"/>
      <c r="B7" s="5"/>
      <c r="C7" s="6" t="s">
        <v>36</v>
      </c>
      <c r="D7" s="6">
        <f>AVERAGE(D4:D5,D2)/AVERAGE(D6,D3)</f>
        <v>1.0189104490398924</v>
      </c>
      <c r="E7" s="13">
        <f>1000*(D7-1)</f>
        <v>18.910449039892363</v>
      </c>
      <c r="F7" s="5"/>
      <c r="G7" s="5"/>
      <c r="H7" s="5"/>
      <c r="I7" s="5"/>
      <c r="J7" s="5"/>
      <c r="K7" s="5"/>
      <c r="L7" s="5"/>
      <c r="M7" s="5"/>
    </row>
    <row r="8" spans="1:13" x14ac:dyDescent="0.2">
      <c r="A8" s="4"/>
      <c r="B8" s="5"/>
      <c r="C8" s="6" t="s">
        <v>35</v>
      </c>
      <c r="D8" s="6">
        <f>SQRT((STDEV(D4:D5,D2)/SQRT(3))^2+(STDEV(D6,D3)/SQRT(2))^2)</f>
        <v>1.6524108585262908E-3</v>
      </c>
      <c r="E8" s="13"/>
      <c r="F8" s="5"/>
      <c r="G8" s="5"/>
      <c r="H8" s="5"/>
      <c r="I8" s="5"/>
      <c r="J8" s="5"/>
      <c r="K8" s="5"/>
      <c r="L8" s="5"/>
      <c r="M8" s="5"/>
    </row>
    <row r="9" spans="1:13" x14ac:dyDescent="0.2">
      <c r="A9" s="4"/>
      <c r="B9" s="5"/>
      <c r="C9" s="5"/>
      <c r="D9" s="5"/>
      <c r="E9" s="14"/>
      <c r="F9" s="5"/>
      <c r="G9" s="5"/>
      <c r="H9" s="5"/>
      <c r="I9" s="5"/>
      <c r="J9" s="5"/>
      <c r="K9" s="5"/>
      <c r="L9" s="5"/>
      <c r="M9" s="5"/>
    </row>
    <row r="10" spans="1:13" x14ac:dyDescent="0.2">
      <c r="A10" s="4" t="s">
        <v>52</v>
      </c>
      <c r="B10" s="5">
        <v>202</v>
      </c>
      <c r="C10" s="5" t="s">
        <v>30</v>
      </c>
      <c r="D10" s="5">
        <v>1.2466354437400001E-2</v>
      </c>
      <c r="E10" s="5">
        <v>1.2354938917731101E-2</v>
      </c>
      <c r="F10" s="5">
        <v>1.4896813235792401E-3</v>
      </c>
      <c r="G10" s="5">
        <v>3.41756334082201E-4</v>
      </c>
      <c r="H10" s="5">
        <v>2.76615154763519E-2</v>
      </c>
      <c r="I10" s="5">
        <v>0.67621217788421495</v>
      </c>
      <c r="J10" s="5">
        <v>5.9592548193130798E-2</v>
      </c>
      <c r="K10" s="5">
        <v>227758.21052631599</v>
      </c>
      <c r="L10" s="5">
        <v>302890.51622253802</v>
      </c>
      <c r="M10" s="5">
        <v>1.6476616258528198E-2</v>
      </c>
    </row>
    <row r="11" spans="1:13" x14ac:dyDescent="0.2">
      <c r="A11" s="4" t="s">
        <v>25</v>
      </c>
      <c r="B11" s="5">
        <v>202</v>
      </c>
      <c r="C11" s="5" t="s">
        <v>30</v>
      </c>
      <c r="D11" s="5">
        <v>1.1766919649303801E-2</v>
      </c>
      <c r="E11" s="5">
        <v>1.18044725076998E-2</v>
      </c>
      <c r="F11" s="5">
        <v>1.03628990109952E-3</v>
      </c>
      <c r="G11" s="5">
        <v>2.4425587211420201E-4</v>
      </c>
      <c r="H11" s="5">
        <v>2.06918074445833E-2</v>
      </c>
      <c r="I11" s="5">
        <v>0.64018112249179304</v>
      </c>
      <c r="J11" s="5">
        <v>4.0622650303891499E-2</v>
      </c>
      <c r="K11" s="5">
        <v>216746</v>
      </c>
      <c r="L11" s="5">
        <v>291864.06277912599</v>
      </c>
      <c r="M11" s="5">
        <v>1.7264689417771501E-2</v>
      </c>
    </row>
    <row r="12" spans="1:13" x14ac:dyDescent="0.2">
      <c r="A12" s="4" t="s">
        <v>27</v>
      </c>
      <c r="B12" s="5">
        <v>202</v>
      </c>
      <c r="C12" s="5" t="s">
        <v>30</v>
      </c>
      <c r="D12" s="5">
        <v>1.27790636039727E-2</v>
      </c>
      <c r="E12" s="5">
        <v>1.28404618355692E-2</v>
      </c>
      <c r="F12" s="5">
        <v>8.1656454424035004E-4</v>
      </c>
      <c r="G12" s="5">
        <v>1.8733275416958099E-4</v>
      </c>
      <c r="H12" s="5">
        <v>1.4589253608515301E-2</v>
      </c>
      <c r="I12" s="5">
        <v>0.67393196286909596</v>
      </c>
      <c r="J12" s="5">
        <v>4.5882229523905999E-2</v>
      </c>
      <c r="K12" s="5">
        <v>226813.05263157899</v>
      </c>
      <c r="L12" s="5">
        <v>303230.10315860098</v>
      </c>
      <c r="M12" s="5">
        <v>1.62696811663815E-2</v>
      </c>
    </row>
    <row r="13" spans="1:13" x14ac:dyDescent="0.2">
      <c r="A13" s="4" t="s">
        <v>28</v>
      </c>
      <c r="B13" s="5">
        <v>202</v>
      </c>
      <c r="C13" s="5" t="s">
        <v>30</v>
      </c>
      <c r="D13" s="5">
        <v>1.2709807846837499E-2</v>
      </c>
      <c r="E13" s="5">
        <v>1.26839776617773E-2</v>
      </c>
      <c r="F13" s="5">
        <v>1.2661754443081001E-3</v>
      </c>
      <c r="G13" s="5">
        <v>3.16543861077026E-4</v>
      </c>
      <c r="H13" s="5">
        <v>2.4956198246148E-2</v>
      </c>
      <c r="I13" s="5">
        <v>0.59601399108781705</v>
      </c>
      <c r="J13" s="5">
        <v>2.41922286067555E-2</v>
      </c>
      <c r="K13" s="5">
        <v>222906.5</v>
      </c>
      <c r="L13" s="5">
        <v>255377.50055717499</v>
      </c>
      <c r="M13" s="5">
        <v>1.7775597492535399E-2</v>
      </c>
    </row>
    <row r="14" spans="1:13" x14ac:dyDescent="0.2">
      <c r="A14" s="4" t="s">
        <v>29</v>
      </c>
      <c r="B14" s="5">
        <v>202</v>
      </c>
      <c r="C14" s="5" t="s">
        <v>30</v>
      </c>
      <c r="D14" s="5">
        <v>1.1177088395428201E-2</v>
      </c>
      <c r="E14" s="5">
        <v>1.13944036748192E-2</v>
      </c>
      <c r="F14" s="5">
        <v>7.6162613001538697E-4</v>
      </c>
      <c r="G14" s="5">
        <v>2.19862525593118E-4</v>
      </c>
      <c r="H14" s="5">
        <v>1.9295658804769099E-2</v>
      </c>
      <c r="I14" s="5">
        <v>0.72692168402143698</v>
      </c>
      <c r="J14" s="5">
        <v>2.4030869430312501E-2</v>
      </c>
      <c r="K14" s="5">
        <v>211563.66666666701</v>
      </c>
      <c r="L14" s="5">
        <v>186951.297959349</v>
      </c>
      <c r="M14" s="5">
        <v>2.2120688263594E-2</v>
      </c>
    </row>
    <row r="15" spans="1:13" x14ac:dyDescent="0.2">
      <c r="A15" s="4"/>
      <c r="B15" s="5"/>
      <c r="C15" s="5"/>
      <c r="D15" s="4" t="s">
        <v>88</v>
      </c>
      <c r="E15" s="4" t="s">
        <v>89</v>
      </c>
      <c r="F15" s="13"/>
      <c r="G15" s="5"/>
      <c r="H15" s="5"/>
      <c r="I15" s="5"/>
      <c r="J15" s="5"/>
      <c r="K15" s="5"/>
      <c r="L15" s="5"/>
      <c r="M15" s="5"/>
    </row>
    <row r="16" spans="1:13" x14ac:dyDescent="0.2">
      <c r="C16" s="30" t="s">
        <v>86</v>
      </c>
      <c r="D16" s="31">
        <f>AVERAGE(D11,D14)</f>
        <v>1.1472004022366001E-2</v>
      </c>
      <c r="E16" s="31">
        <f>SQRT(1/SUM(1/M11^2,1/M14^2))</f>
        <v>1.3610098191089175E-2</v>
      </c>
      <c r="F16" s="3"/>
    </row>
    <row r="17" spans="1:13" x14ac:dyDescent="0.2">
      <c r="C17" s="30" t="s">
        <v>87</v>
      </c>
      <c r="D17" s="31">
        <f>AVERAGE(D10,D13,D12)</f>
        <v>1.2651741962736733E-2</v>
      </c>
      <c r="E17" s="31">
        <f>SQRT(1/SUM(1/M10^2,1/M12^2,1/M13^2))</f>
        <v>9.7008807771542405E-3</v>
      </c>
      <c r="F17" s="3"/>
    </row>
    <row r="18" spans="1:13" x14ac:dyDescent="0.2">
      <c r="C18" s="30" t="s">
        <v>69</v>
      </c>
      <c r="D18" s="31">
        <f>((D17/D16)-1)*1000</f>
        <v>102.83625581639421</v>
      </c>
      <c r="E18" s="31"/>
      <c r="F18" s="3"/>
    </row>
    <row r="19" spans="1:13" x14ac:dyDescent="0.2">
      <c r="C19" s="32" t="s">
        <v>90</v>
      </c>
      <c r="D19" s="11">
        <f>D18-E7*2</f>
        <v>65.015357736609488</v>
      </c>
      <c r="E19" s="31">
        <f>SQRT(E16^2+E17^2)*1000</f>
        <v>16.713523285760232</v>
      </c>
      <c r="F19" s="3"/>
    </row>
    <row r="21" spans="1:13" x14ac:dyDescent="0.2">
      <c r="A21" s="12" t="s">
        <v>1</v>
      </c>
      <c r="B21" s="4" t="s">
        <v>13</v>
      </c>
      <c r="C21" s="4" t="s">
        <v>14</v>
      </c>
      <c r="D21" s="4" t="s">
        <v>15</v>
      </c>
      <c r="E21" s="4" t="s">
        <v>16</v>
      </c>
      <c r="F21" s="4" t="s">
        <v>17</v>
      </c>
      <c r="G21" s="4" t="s">
        <v>18</v>
      </c>
      <c r="H21" s="4" t="s">
        <v>19</v>
      </c>
      <c r="I21" s="4" t="s">
        <v>20</v>
      </c>
      <c r="J21" s="4" t="s">
        <v>21</v>
      </c>
      <c r="K21" s="4" t="s">
        <v>22</v>
      </c>
      <c r="L21" s="4" t="s">
        <v>23</v>
      </c>
      <c r="M21" s="4" t="s">
        <v>24</v>
      </c>
    </row>
    <row r="22" spans="1:13" x14ac:dyDescent="0.2">
      <c r="A22" s="4" t="s">
        <v>52</v>
      </c>
      <c r="B22" s="5">
        <v>202</v>
      </c>
      <c r="C22" s="5" t="s">
        <v>26</v>
      </c>
      <c r="D22" s="5">
        <v>0.16976462847084001</v>
      </c>
      <c r="E22" s="5">
        <v>0.170323924516743</v>
      </c>
      <c r="F22" s="5">
        <v>5.2378825177373904E-3</v>
      </c>
      <c r="G22" s="5">
        <v>1.11672030496814E-3</v>
      </c>
      <c r="H22" s="5">
        <v>6.5564500591246298E-3</v>
      </c>
      <c r="I22" s="5">
        <v>0.67436259915437102</v>
      </c>
      <c r="J22" s="5">
        <v>4.8112976391918E-2</v>
      </c>
      <c r="K22" s="5">
        <v>227164.681818182</v>
      </c>
      <c r="L22" s="5">
        <v>377902.18286123802</v>
      </c>
      <c r="M22" s="5">
        <v>4.61833232977738E-3</v>
      </c>
    </row>
    <row r="23" spans="1:13" x14ac:dyDescent="0.2">
      <c r="A23" s="4" t="s">
        <v>31</v>
      </c>
      <c r="B23" s="5">
        <v>202</v>
      </c>
      <c r="C23" s="5" t="s">
        <v>26</v>
      </c>
      <c r="D23" s="5">
        <v>0.16781815996650901</v>
      </c>
      <c r="E23" s="5">
        <v>0.16815017962770201</v>
      </c>
      <c r="F23" s="5">
        <v>2.96078970496367E-3</v>
      </c>
      <c r="G23" s="5">
        <v>6.3124248607657001E-4</v>
      </c>
      <c r="H23" s="5">
        <v>3.7540399152364498E-3</v>
      </c>
      <c r="I23" s="5">
        <v>0.69263672013927002</v>
      </c>
      <c r="J23" s="5">
        <v>3.7476917594513499E-2</v>
      </c>
      <c r="K23" s="5">
        <v>218288.727272727</v>
      </c>
      <c r="L23" s="5">
        <v>398405.34929096501</v>
      </c>
      <c r="M23" s="5">
        <v>4.5164079835518702E-3</v>
      </c>
    </row>
    <row r="24" spans="1:13" x14ac:dyDescent="0.2">
      <c r="A24" s="4" t="s">
        <v>32</v>
      </c>
      <c r="B24" s="5">
        <v>202</v>
      </c>
      <c r="C24" s="5" t="s">
        <v>26</v>
      </c>
      <c r="D24" s="5">
        <v>0.17028567166367001</v>
      </c>
      <c r="E24" s="5">
        <v>0.17039033195396699</v>
      </c>
      <c r="F24" s="5">
        <v>5.0994317443970099E-3</v>
      </c>
      <c r="G24" s="5">
        <v>1.0872025009119801E-3</v>
      </c>
      <c r="H24" s="5">
        <v>6.3806583885622102E-3</v>
      </c>
      <c r="I24" s="5">
        <v>0.67417281372515103</v>
      </c>
      <c r="J24" s="5">
        <v>5.25490346089161E-2</v>
      </c>
      <c r="K24" s="5">
        <v>228028.772727273</v>
      </c>
      <c r="L24" s="5">
        <v>380882.05509950197</v>
      </c>
      <c r="M24" s="5">
        <v>4.5952334392503702E-3</v>
      </c>
    </row>
    <row r="25" spans="1:13" x14ac:dyDescent="0.2">
      <c r="A25" s="4" t="s">
        <v>33</v>
      </c>
      <c r="B25" s="5">
        <v>202</v>
      </c>
      <c r="C25" s="5" t="s">
        <v>26</v>
      </c>
      <c r="D25" s="5">
        <v>0.16919923941514001</v>
      </c>
      <c r="E25" s="5">
        <v>0.169937451790172</v>
      </c>
      <c r="F25" s="5">
        <v>6.1486010484006603E-3</v>
      </c>
      <c r="G25" s="5">
        <v>1.3108861481038799E-3</v>
      </c>
      <c r="H25" s="5">
        <v>7.7139331812652798E-3</v>
      </c>
      <c r="I25" s="5">
        <v>0.67691246865409704</v>
      </c>
      <c r="J25" s="5">
        <v>7.1867074439401699E-2</v>
      </c>
      <c r="K25" s="5">
        <v>229712.409090909</v>
      </c>
      <c r="L25" s="5">
        <v>385021.27783650602</v>
      </c>
      <c r="M25" s="5">
        <v>4.5808593283122E-3</v>
      </c>
    </row>
    <row r="26" spans="1:13" x14ac:dyDescent="0.2">
      <c r="A26" s="4" t="s">
        <v>34</v>
      </c>
      <c r="B26" s="5">
        <v>202</v>
      </c>
      <c r="C26" s="5" t="s">
        <v>26</v>
      </c>
      <c r="D26" s="5">
        <v>0.166732771757925</v>
      </c>
      <c r="E26" s="5">
        <v>0.166240370397395</v>
      </c>
      <c r="F26" s="5">
        <v>5.0322329513606901E-3</v>
      </c>
      <c r="G26" s="5">
        <v>1.12524149578569E-3</v>
      </c>
      <c r="H26" s="5">
        <v>6.7687619625474704E-3</v>
      </c>
      <c r="I26" s="5">
        <v>0.647774554609308</v>
      </c>
      <c r="J26" s="5">
        <v>5.36947512559348E-2</v>
      </c>
      <c r="K26" s="5">
        <v>220290.2</v>
      </c>
      <c r="L26" s="5">
        <v>365573.22272457799</v>
      </c>
      <c r="M26" s="5">
        <v>4.7257824278393997E-3</v>
      </c>
    </row>
    <row r="27" spans="1:13" x14ac:dyDescent="0.2">
      <c r="A27" s="4"/>
      <c r="B27" s="5"/>
      <c r="C27" s="6" t="s">
        <v>36</v>
      </c>
      <c r="D27" s="6">
        <f>AVERAGE(D24:D25,D22)/AVERAGE(D26,D23)</f>
        <v>1.0147922508634417</v>
      </c>
      <c r="E27" s="13">
        <f>1000*(D27-1)</f>
        <v>14.792250863441714</v>
      </c>
      <c r="F27" s="5"/>
      <c r="G27" s="5"/>
      <c r="H27" s="5"/>
      <c r="I27" s="5"/>
      <c r="J27" s="5"/>
      <c r="K27" s="5"/>
      <c r="L27" s="5"/>
      <c r="M27" s="5"/>
    </row>
    <row r="28" spans="1:13" x14ac:dyDescent="0.2">
      <c r="A28" s="4"/>
      <c r="B28" s="5"/>
      <c r="C28" s="6" t="s">
        <v>35</v>
      </c>
      <c r="D28" s="6">
        <f>SQRT((STDEV(D24:D25,D22)/SQRT(3))^2+(STDEV(D26,D23)/SQRT(2))^2)</f>
        <v>6.2684349715880889E-4</v>
      </c>
      <c r="E28" s="13"/>
      <c r="F28" s="5"/>
      <c r="G28" s="5"/>
      <c r="H28" s="5"/>
      <c r="I28" s="5"/>
      <c r="J28" s="5"/>
      <c r="K28" s="5"/>
      <c r="L28" s="5"/>
      <c r="M28" s="5"/>
    </row>
    <row r="29" spans="1:13" x14ac:dyDescent="0.2">
      <c r="A29" s="4"/>
      <c r="B29" s="5"/>
      <c r="C29" s="5"/>
      <c r="D29" s="5"/>
      <c r="E29" s="14"/>
      <c r="F29" s="5"/>
      <c r="G29" s="5"/>
      <c r="H29" s="5"/>
      <c r="I29" s="5"/>
      <c r="J29" s="5"/>
      <c r="K29" s="5"/>
      <c r="L29" s="5"/>
      <c r="M29" s="5"/>
    </row>
    <row r="30" spans="1:13" x14ac:dyDescent="0.2">
      <c r="A30" s="4" t="s">
        <v>52</v>
      </c>
      <c r="B30" s="5">
        <v>202</v>
      </c>
      <c r="C30" s="5" t="s">
        <v>30</v>
      </c>
      <c r="D30" s="5">
        <v>1.2377280427426E-2</v>
      </c>
      <c r="E30" s="5">
        <v>1.25321310127812E-2</v>
      </c>
      <c r="F30" s="5">
        <v>1.4864014756536901E-3</v>
      </c>
      <c r="G30" s="5">
        <v>3.1690185940140298E-4</v>
      </c>
      <c r="H30" s="5">
        <v>2.5287148616480602E-2</v>
      </c>
      <c r="I30" s="5">
        <v>0.67436259915437102</v>
      </c>
      <c r="J30" s="5">
        <v>4.8112976391918E-2</v>
      </c>
      <c r="K30" s="5">
        <v>227164.681818182</v>
      </c>
      <c r="L30" s="5">
        <v>327056.89233634202</v>
      </c>
      <c r="M30" s="5">
        <v>1.59117564229459E-2</v>
      </c>
    </row>
    <row r="31" spans="1:13" x14ac:dyDescent="0.2">
      <c r="A31" s="4" t="s">
        <v>31</v>
      </c>
      <c r="B31" s="5">
        <v>202</v>
      </c>
      <c r="C31" s="5" t="s">
        <v>30</v>
      </c>
      <c r="D31" s="5">
        <v>1.20481705395728E-2</v>
      </c>
      <c r="E31" s="5">
        <v>1.1961471861271099E-2</v>
      </c>
      <c r="F31" s="5">
        <v>1.11903563684052E-3</v>
      </c>
      <c r="G31" s="5">
        <v>2.3857919940185499E-4</v>
      </c>
      <c r="H31" s="5">
        <v>1.9945638978956098E-2</v>
      </c>
      <c r="I31" s="5">
        <v>0.69263672013927002</v>
      </c>
      <c r="J31" s="5">
        <v>3.7476917594513499E-2</v>
      </c>
      <c r="K31" s="5">
        <v>218288.727272727</v>
      </c>
      <c r="L31" s="5">
        <v>345263.85931065201</v>
      </c>
      <c r="M31" s="5">
        <v>1.56915220223015E-2</v>
      </c>
    </row>
    <row r="32" spans="1:13" x14ac:dyDescent="0.2">
      <c r="A32" s="4" t="s">
        <v>32</v>
      </c>
      <c r="B32" s="5">
        <v>202</v>
      </c>
      <c r="C32" s="5" t="s">
        <v>30</v>
      </c>
      <c r="D32" s="5">
        <v>1.2362700025131601E-2</v>
      </c>
      <c r="E32" s="5">
        <v>1.2315724857348999E-2</v>
      </c>
      <c r="F32" s="5">
        <v>1.0769444837490001E-3</v>
      </c>
      <c r="G32" s="5">
        <v>2.2960533541050901E-4</v>
      </c>
      <c r="H32" s="5">
        <v>1.86432660740629E-2</v>
      </c>
      <c r="I32" s="5">
        <v>0.67417281372515103</v>
      </c>
      <c r="J32" s="5">
        <v>5.25490346089161E-2</v>
      </c>
      <c r="K32" s="5">
        <v>228028.772727273</v>
      </c>
      <c r="L32" s="5">
        <v>329484.32594538998</v>
      </c>
      <c r="M32" s="5">
        <v>1.5862151371884601E-2</v>
      </c>
    </row>
    <row r="33" spans="1:13" x14ac:dyDescent="0.2">
      <c r="A33" s="4" t="s">
        <v>33</v>
      </c>
      <c r="B33" s="5">
        <v>202</v>
      </c>
      <c r="C33" s="5" t="s">
        <v>30</v>
      </c>
      <c r="D33" s="5">
        <v>1.20377634075575E-2</v>
      </c>
      <c r="E33" s="5">
        <v>1.16896800899376E-2</v>
      </c>
      <c r="F33" s="5">
        <v>1.00283297237222E-3</v>
      </c>
      <c r="G33" s="5">
        <v>2.1380470809478401E-4</v>
      </c>
      <c r="H33" s="5">
        <v>1.8290039286774501E-2</v>
      </c>
      <c r="I33" s="5">
        <v>0.67691246865409704</v>
      </c>
      <c r="J33" s="5">
        <v>7.1867074439401699E-2</v>
      </c>
      <c r="K33" s="5">
        <v>229712.409090909</v>
      </c>
      <c r="L33" s="5">
        <v>333267.470376471</v>
      </c>
      <c r="M33" s="5">
        <v>1.5978181641893501E-2</v>
      </c>
    </row>
    <row r="34" spans="1:13" x14ac:dyDescent="0.2">
      <c r="A34" s="4" t="s">
        <v>34</v>
      </c>
      <c r="B34" s="5">
        <v>202</v>
      </c>
      <c r="C34" s="5" t="s">
        <v>30</v>
      </c>
      <c r="D34" s="5">
        <v>1.1728218388830199E-2</v>
      </c>
      <c r="E34" s="5">
        <v>1.1802710874497101E-2</v>
      </c>
      <c r="F34" s="5">
        <v>7.5613780048313099E-4</v>
      </c>
      <c r="G34" s="5">
        <v>1.6907755222374501E-4</v>
      </c>
      <c r="H34" s="5">
        <v>1.4325315092576099E-2</v>
      </c>
      <c r="I34" s="5">
        <v>0.647774554609308</v>
      </c>
      <c r="J34" s="5">
        <v>5.36947512559348E-2</v>
      </c>
      <c r="K34" s="5">
        <v>220290.2</v>
      </c>
      <c r="L34" s="5">
        <v>317005.53397547</v>
      </c>
      <c r="M34" s="5">
        <v>1.6592599061612898E-2</v>
      </c>
    </row>
    <row r="35" spans="1:13" x14ac:dyDescent="0.2">
      <c r="A35" s="4"/>
      <c r="B35" s="5"/>
      <c r="C35" s="5"/>
      <c r="D35" s="4" t="s">
        <v>88</v>
      </c>
      <c r="E35" s="4" t="s">
        <v>89</v>
      </c>
      <c r="F35" s="13"/>
      <c r="G35" s="5"/>
      <c r="H35" s="5"/>
      <c r="I35" s="5"/>
      <c r="J35" s="5"/>
      <c r="K35" s="5"/>
      <c r="L35" s="5"/>
      <c r="M35" s="5"/>
    </row>
    <row r="36" spans="1:13" x14ac:dyDescent="0.2">
      <c r="C36" s="30" t="s">
        <v>86</v>
      </c>
      <c r="D36" s="31">
        <f>AVERAGE(D31,D34)</f>
        <v>1.18881944642015E-2</v>
      </c>
      <c r="E36" s="31">
        <f>SQRT(1/SUM(1/M31^2,1/M34^2))</f>
        <v>1.1400828822682537E-2</v>
      </c>
      <c r="F36" s="3"/>
    </row>
    <row r="37" spans="1:13" x14ac:dyDescent="0.2">
      <c r="C37" s="30" t="s">
        <v>87</v>
      </c>
      <c r="D37" s="31">
        <f>AVERAGE(D30,D33,D32)</f>
        <v>1.22592479533717E-2</v>
      </c>
      <c r="E37" s="31">
        <f>SQRT(1/SUM(1/M30^2,1/M32^2,1/M33^2))</f>
        <v>9.1897710454718583E-3</v>
      </c>
      <c r="F37" s="3"/>
    </row>
    <row r="38" spans="1:13" x14ac:dyDescent="0.2">
      <c r="C38" s="30" t="s">
        <v>69</v>
      </c>
      <c r="D38" s="31">
        <f>((D37/D36)-1)*1000</f>
        <v>31.211929640580838</v>
      </c>
      <c r="E38" s="31"/>
      <c r="F38" s="3"/>
    </row>
    <row r="39" spans="1:13" x14ac:dyDescent="0.2">
      <c r="C39" s="32" t="s">
        <v>90</v>
      </c>
      <c r="D39" s="11">
        <f>D38-E27*2</f>
        <v>1.6274279136974101</v>
      </c>
      <c r="E39" s="31">
        <f>SQRT(E36^2+E37^2)*1000</f>
        <v>14.643455524988008</v>
      </c>
      <c r="F39" s="3"/>
    </row>
    <row r="41" spans="1:13" x14ac:dyDescent="0.2">
      <c r="A41" s="10" t="s">
        <v>44</v>
      </c>
      <c r="B41" s="10" t="s">
        <v>45</v>
      </c>
      <c r="C41" s="10" t="s">
        <v>46</v>
      </c>
      <c r="D41" s="10" t="s">
        <v>47</v>
      </c>
      <c r="E41" s="10" t="s">
        <v>48</v>
      </c>
      <c r="G41" s="10" t="s">
        <v>49</v>
      </c>
      <c r="H41" s="10" t="s">
        <v>35</v>
      </c>
    </row>
    <row r="42" spans="1:13" x14ac:dyDescent="0.2">
      <c r="A42" s="10" t="s">
        <v>42</v>
      </c>
      <c r="B42">
        <v>-25.688333333333333</v>
      </c>
      <c r="C42">
        <v>0.45601315770490564</v>
      </c>
      <c r="D42">
        <f>(B42/1000)+1</f>
        <v>0.97431166666666669</v>
      </c>
      <c r="E42">
        <f>D7</f>
        <v>1.0189104490398924</v>
      </c>
      <c r="F42">
        <f>D42*E42</f>
        <v>0.9927363377881393</v>
      </c>
      <c r="G42" s="11">
        <f>(F42-1)*1000</f>
        <v>-7.2636622118606997</v>
      </c>
      <c r="H42" s="11">
        <f>C42+D8*1000</f>
        <v>2.1084240162311967</v>
      </c>
    </row>
    <row r="43" spans="1:13" x14ac:dyDescent="0.2">
      <c r="A43" s="10" t="s">
        <v>43</v>
      </c>
      <c r="B43">
        <v>-25.683333333333334</v>
      </c>
      <c r="C43">
        <v>0.66467059510708049</v>
      </c>
      <c r="D43">
        <f>(B43/1000)+1</f>
        <v>0.97431666666666672</v>
      </c>
      <c r="E43">
        <f>D27</f>
        <v>1.0147922508634417</v>
      </c>
      <c r="F43">
        <f>D43*E43</f>
        <v>0.98872900322043233</v>
      </c>
      <c r="G43" s="11">
        <f>(F43-1)*1000</f>
        <v>-11.270996779567666</v>
      </c>
      <c r="H43" s="11">
        <f>C43+D28*1000</f>
        <v>1.2915140922658894</v>
      </c>
    </row>
    <row r="44" spans="1:13" x14ac:dyDescent="0.2">
      <c r="A44" s="10"/>
    </row>
    <row r="47" spans="1:13" x14ac:dyDescent="0.2">
      <c r="A47" s="7" t="s">
        <v>37</v>
      </c>
      <c r="B47" s="8"/>
      <c r="C47" s="8"/>
      <c r="D47" s="8"/>
      <c r="E47" s="8"/>
      <c r="F47" s="8"/>
      <c r="G47" s="8"/>
    </row>
    <row r="48" spans="1:13" x14ac:dyDescent="0.2">
      <c r="A48" s="8"/>
      <c r="B48" s="8" t="s">
        <v>38</v>
      </c>
      <c r="C48" s="8" t="s">
        <v>35</v>
      </c>
      <c r="D48" s="8" t="s">
        <v>39</v>
      </c>
      <c r="E48" s="8" t="s">
        <v>35</v>
      </c>
      <c r="F48" s="8" t="s">
        <v>40</v>
      </c>
      <c r="G48" s="8" t="s">
        <v>41</v>
      </c>
    </row>
    <row r="49" spans="1:7" x14ac:dyDescent="0.2">
      <c r="A49" s="8" t="s">
        <v>42</v>
      </c>
      <c r="B49" s="9">
        <v>-5.9</v>
      </c>
      <c r="C49" s="8">
        <v>1.1000000000000001</v>
      </c>
      <c r="D49" s="8">
        <v>-24.7</v>
      </c>
      <c r="E49" s="8">
        <v>1</v>
      </c>
      <c r="F49" s="8">
        <f>(B49/1000)+1</f>
        <v>0.99409999999999998</v>
      </c>
      <c r="G49" s="8">
        <f>(D49/1000)+1</f>
        <v>0.97530000000000006</v>
      </c>
    </row>
    <row r="50" spans="1:7" x14ac:dyDescent="0.2">
      <c r="A50" s="8" t="s">
        <v>43</v>
      </c>
      <c r="B50" s="9">
        <v>-13.1</v>
      </c>
      <c r="C50" s="8">
        <v>1.3</v>
      </c>
      <c r="D50" s="8">
        <v>-23.6</v>
      </c>
      <c r="E50" s="8">
        <v>1.3</v>
      </c>
      <c r="F50" s="8">
        <f>(B50/1000)+1</f>
        <v>0.9869</v>
      </c>
      <c r="G50" s="8">
        <f>(D50/1000)+1</f>
        <v>0.97640000000000005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6F27-0151-F54C-B695-AFEC3E78DDC9}">
  <dimension ref="A1:G6"/>
  <sheetViews>
    <sheetView workbookViewId="0">
      <selection activeCell="C12" sqref="C12"/>
    </sheetView>
  </sheetViews>
  <sheetFormatPr baseColWidth="10" defaultRowHeight="16" x14ac:dyDescent="0.2"/>
  <cols>
    <col min="1" max="1" width="32.6640625" customWidth="1"/>
    <col min="2" max="2" width="13.33203125" customWidth="1"/>
  </cols>
  <sheetData>
    <row r="1" spans="1:7" x14ac:dyDescent="0.2">
      <c r="B1" t="s">
        <v>0</v>
      </c>
      <c r="C1" t="s">
        <v>1</v>
      </c>
      <c r="G1" s="1" t="s">
        <v>2</v>
      </c>
    </row>
    <row r="2" spans="1:7" x14ac:dyDescent="0.2">
      <c r="A2" s="2" t="s">
        <v>6</v>
      </c>
      <c r="B2" s="2" t="s">
        <v>50</v>
      </c>
      <c r="C2" s="2" t="s">
        <v>51</v>
      </c>
      <c r="D2" s="2"/>
      <c r="G2" s="1" t="s">
        <v>3</v>
      </c>
    </row>
    <row r="3" spans="1:7" x14ac:dyDescent="0.2">
      <c r="A3" t="s">
        <v>7</v>
      </c>
      <c r="B3" t="s">
        <v>11</v>
      </c>
      <c r="C3" s="3" t="s">
        <v>53</v>
      </c>
      <c r="G3" s="1" t="s">
        <v>4</v>
      </c>
    </row>
    <row r="4" spans="1:7" x14ac:dyDescent="0.2">
      <c r="A4" t="s">
        <v>8</v>
      </c>
      <c r="B4" t="s">
        <v>11</v>
      </c>
      <c r="C4" s="3" t="s">
        <v>54</v>
      </c>
      <c r="G4" s="1" t="s">
        <v>5</v>
      </c>
    </row>
    <row r="5" spans="1:7" x14ac:dyDescent="0.2">
      <c r="A5" t="s">
        <v>9</v>
      </c>
      <c r="B5" t="s">
        <v>11</v>
      </c>
      <c r="C5" s="3" t="s">
        <v>55</v>
      </c>
      <c r="G5" s="1"/>
    </row>
    <row r="6" spans="1:7" x14ac:dyDescent="0.2">
      <c r="A6" s="3" t="s">
        <v>10</v>
      </c>
      <c r="B6" t="s">
        <v>12</v>
      </c>
      <c r="C6" s="3" t="s">
        <v>56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2F5C-A35F-FB4F-844F-A0D03B7A4795}">
  <dimension ref="A1:J35"/>
  <sheetViews>
    <sheetView tabSelected="1" topLeftCell="A9" workbookViewId="0">
      <selection activeCell="E31" sqref="E31"/>
    </sheetView>
  </sheetViews>
  <sheetFormatPr baseColWidth="10" defaultRowHeight="16" x14ac:dyDescent="0.2"/>
  <cols>
    <col min="1" max="1" width="17.83203125" style="16" customWidth="1"/>
    <col min="2" max="2" width="12.33203125" style="25" bestFit="1" customWidth="1"/>
    <col min="3" max="3" width="11.5" style="25" customWidth="1"/>
    <col min="4" max="4" width="17.1640625" style="25" customWidth="1"/>
    <col min="5" max="5" width="21.83203125" style="25" customWidth="1"/>
    <col min="6" max="6" width="15.1640625" style="25" customWidth="1"/>
    <col min="7" max="7" width="20.1640625" style="25" customWidth="1"/>
    <col min="8" max="8" width="10.83203125" style="25"/>
    <col min="9" max="9" width="23.1640625" style="25" customWidth="1"/>
    <col min="10" max="16384" width="10.83203125" style="25"/>
  </cols>
  <sheetData>
    <row r="1" spans="1:10" ht="34" x14ac:dyDescent="0.2">
      <c r="A1" s="22"/>
      <c r="B1" s="23" t="s">
        <v>57</v>
      </c>
      <c r="C1" s="22"/>
      <c r="D1" s="21"/>
      <c r="E1" s="21"/>
      <c r="F1" s="18" t="s">
        <v>58</v>
      </c>
      <c r="G1" s="15" t="s">
        <v>59</v>
      </c>
      <c r="H1" s="24" t="s">
        <v>60</v>
      </c>
      <c r="I1" s="24"/>
    </row>
    <row r="2" spans="1:10" ht="17" x14ac:dyDescent="0.2">
      <c r="A2" s="26" t="s">
        <v>61</v>
      </c>
      <c r="B2" s="22">
        <v>1.1237199999999999E-2</v>
      </c>
      <c r="C2" s="22"/>
      <c r="D2" s="21"/>
      <c r="E2" s="17" t="s">
        <v>62</v>
      </c>
      <c r="F2" s="21">
        <v>16</v>
      </c>
      <c r="G2" s="21">
        <v>14</v>
      </c>
      <c r="H2" s="21">
        <v>10</v>
      </c>
      <c r="I2" s="21"/>
    </row>
    <row r="3" spans="1:10" ht="17" x14ac:dyDescent="0.2">
      <c r="A3" s="26" t="s">
        <v>63</v>
      </c>
      <c r="B3" s="22">
        <f>1-B2</f>
        <v>0.98876280000000005</v>
      </c>
      <c r="C3" s="22"/>
      <c r="D3" s="21"/>
      <c r="E3" s="17" t="s">
        <v>64</v>
      </c>
      <c r="F3" s="21">
        <f>B3^15 *B2</f>
        <v>9.4850558150320688E-3</v>
      </c>
      <c r="G3" s="21">
        <f>B3^13 *B2</f>
        <v>9.7018745228647472E-3</v>
      </c>
      <c r="H3" s="21">
        <f>B3^9 *B2</f>
        <v>1.0150493997434191E-2</v>
      </c>
      <c r="I3" s="21"/>
    </row>
    <row r="4" spans="1:10" ht="17" x14ac:dyDescent="0.2">
      <c r="A4" s="26" t="s">
        <v>65</v>
      </c>
      <c r="B4" s="22">
        <f>B2/B3</f>
        <v>1.1364909764000019E-2</v>
      </c>
      <c r="C4" s="22"/>
      <c r="D4" s="21"/>
      <c r="E4" s="17" t="s">
        <v>66</v>
      </c>
      <c r="F4" s="21">
        <f>B3^14 *B2^2</f>
        <v>1.0779680344434312E-4</v>
      </c>
      <c r="G4" s="21">
        <f>B3^12 *B2^2</f>
        <v>1.102609284940086E-4</v>
      </c>
      <c r="H4" s="21">
        <f>B3^8 *B2^2</f>
        <v>1.1535944834086342E-4</v>
      </c>
      <c r="I4" s="21"/>
    </row>
    <row r="5" spans="1:10" ht="17" x14ac:dyDescent="0.2">
      <c r="A5" s="26" t="s">
        <v>67</v>
      </c>
      <c r="B5" s="22">
        <f>B2^2*B3^14</f>
        <v>1.0779680344434312E-4</v>
      </c>
      <c r="C5" s="22">
        <f>B5/B4</f>
        <v>9.4850558150320688E-3</v>
      </c>
      <c r="D5" s="21"/>
      <c r="E5" s="21"/>
      <c r="F5" s="21"/>
      <c r="G5" s="21"/>
      <c r="H5" s="21"/>
      <c r="I5" s="21"/>
    </row>
    <row r="6" spans="1:10" x14ac:dyDescent="0.2">
      <c r="A6" s="21"/>
      <c r="B6" s="21"/>
      <c r="C6" s="21"/>
      <c r="D6" s="21"/>
      <c r="E6" s="21"/>
      <c r="F6" s="21"/>
      <c r="G6" s="21"/>
      <c r="H6" s="21"/>
      <c r="I6" s="21"/>
    </row>
    <row r="7" spans="1:10" x14ac:dyDescent="0.2">
      <c r="A7" s="21"/>
      <c r="B7" s="21"/>
      <c r="C7" s="21"/>
      <c r="D7" s="21"/>
      <c r="E7" s="21"/>
      <c r="F7" s="21"/>
      <c r="G7" s="21"/>
      <c r="H7" s="21"/>
      <c r="I7" s="21"/>
    </row>
    <row r="8" spans="1:10" ht="34" x14ac:dyDescent="0.2">
      <c r="A8" s="17" t="s">
        <v>68</v>
      </c>
      <c r="B8" s="20"/>
      <c r="C8" s="21"/>
      <c r="D8" s="21"/>
      <c r="E8" s="21"/>
      <c r="F8" s="21"/>
      <c r="G8" s="21"/>
      <c r="H8" s="21"/>
      <c r="I8" s="21"/>
    </row>
    <row r="9" spans="1:10" ht="68" x14ac:dyDescent="0.2">
      <c r="A9" s="17" t="s">
        <v>69</v>
      </c>
      <c r="B9" s="17" t="s">
        <v>70</v>
      </c>
      <c r="C9" s="17" t="s">
        <v>71</v>
      </c>
      <c r="D9" s="17" t="s">
        <v>61</v>
      </c>
      <c r="E9" s="17" t="s">
        <v>63</v>
      </c>
      <c r="F9" s="18" t="s">
        <v>72</v>
      </c>
      <c r="G9" s="18" t="s">
        <v>73</v>
      </c>
      <c r="H9" s="19" t="s">
        <v>74</v>
      </c>
      <c r="I9" s="19" t="s">
        <v>75</v>
      </c>
      <c r="J9" s="33" t="s">
        <v>75</v>
      </c>
    </row>
    <row r="10" spans="1:10" x14ac:dyDescent="0.2">
      <c r="A10" s="21">
        <v>0</v>
      </c>
      <c r="B10" s="21">
        <f>(A10/1000)+1</f>
        <v>1</v>
      </c>
      <c r="C10" s="21">
        <f t="shared" ref="C10:C20" si="0">B10*$B$4</f>
        <v>1.1364909764000019E-2</v>
      </c>
      <c r="D10" s="21">
        <f>C10/(1+C10)</f>
        <v>1.1237199999999998E-2</v>
      </c>
      <c r="E10" s="21">
        <f>1-D10</f>
        <v>0.98876280000000005</v>
      </c>
      <c r="F10" s="27">
        <f>E10^14*D10^2</f>
        <v>1.0779680344434309E-4</v>
      </c>
      <c r="G10" s="27">
        <f>F10/E10</f>
        <v>1.0902190438833569E-4</v>
      </c>
      <c r="H10" s="27">
        <f>G10*((16*15) /2)</f>
        <v>1.3082628526600283E-2</v>
      </c>
      <c r="I10" s="27">
        <f>H10-$F$26</f>
        <v>1.2081418072747265E-2</v>
      </c>
      <c r="J10" s="34">
        <f>I10-$F$29</f>
        <v>1.2081418072747265E-2</v>
      </c>
    </row>
    <row r="11" spans="1:10" x14ac:dyDescent="0.2">
      <c r="A11" s="21">
        <v>-5</v>
      </c>
      <c r="B11" s="21">
        <f t="shared" ref="B11:B20" si="1">(A11/1000)+1</f>
        <v>0.995</v>
      </c>
      <c r="C11" s="21">
        <f t="shared" si="0"/>
        <v>1.1308085215180019E-2</v>
      </c>
      <c r="D11" s="21">
        <f>C11/(1+C11)</f>
        <v>1.1181642251751554E-2</v>
      </c>
      <c r="E11" s="21">
        <f t="shared" ref="E11:E20" si="2">1-D11</f>
        <v>0.98881835774824844</v>
      </c>
      <c r="F11" s="27">
        <f>E11^14*D11^2</f>
        <v>1.0681751625905236E-4</v>
      </c>
      <c r="G11" s="27">
        <f>F11/E11</f>
        <v>1.080254178353836E-4</v>
      </c>
      <c r="H11" s="27">
        <f>G11*((16*15) /2)</f>
        <v>1.2963050140246032E-2</v>
      </c>
      <c r="I11" s="27">
        <f>H11-$F$26</f>
        <v>1.1961839686393014E-2</v>
      </c>
      <c r="J11" s="34">
        <f t="shared" ref="J11:J20" si="3">I11-$F$29</f>
        <v>1.1961839686393014E-2</v>
      </c>
    </row>
    <row r="12" spans="1:10" x14ac:dyDescent="0.2">
      <c r="A12" s="21">
        <v>-10</v>
      </c>
      <c r="B12" s="21">
        <f t="shared" si="1"/>
        <v>0.99</v>
      </c>
      <c r="C12" s="21">
        <f>B12*$B$4</f>
        <v>1.1251260666360018E-2</v>
      </c>
      <c r="D12" s="21">
        <f>C12/(1+C12)</f>
        <v>1.1126078259666194E-2</v>
      </c>
      <c r="E12" s="21">
        <f>1-D12</f>
        <v>0.98887392174033384</v>
      </c>
      <c r="F12" s="27">
        <f>E12^14*D12^2</f>
        <v>1.0584178520764198E-4</v>
      </c>
      <c r="G12" s="27">
        <f>F12/E12</f>
        <v>1.0703263872240605E-4</v>
      </c>
      <c r="H12" s="27">
        <f t="shared" ref="H12:H20" si="4">G12*((16*15) /2)</f>
        <v>1.2843916646688725E-2</v>
      </c>
      <c r="I12" s="27">
        <f>H12-$F$26</f>
        <v>1.1842706192835707E-2</v>
      </c>
      <c r="J12" s="34">
        <f t="shared" si="3"/>
        <v>1.1842706192835707E-2</v>
      </c>
    </row>
    <row r="13" spans="1:10" x14ac:dyDescent="0.2">
      <c r="A13" s="21">
        <v>-15</v>
      </c>
      <c r="B13" s="21">
        <f t="shared" si="1"/>
        <v>0.98499999999999999</v>
      </c>
      <c r="C13" s="21">
        <f t="shared" si="0"/>
        <v>1.1194436117540018E-2</v>
      </c>
      <c r="D13" s="21">
        <f>C13/(1+C13)</f>
        <v>1.1070508022691286E-2</v>
      </c>
      <c r="E13" s="21">
        <f t="shared" si="2"/>
        <v>0.98892949197730873</v>
      </c>
      <c r="F13" s="27">
        <f t="shared" ref="F13:F20" si="5">E13^14*D13^2</f>
        <v>1.0486962217912392E-4</v>
      </c>
      <c r="G13" s="27">
        <f t="shared" ref="G13:G20" si="6">F13/E13</f>
        <v>1.0604357846527869E-4</v>
      </c>
      <c r="H13" s="27">
        <f t="shared" si="4"/>
        <v>1.2725229415833443E-2</v>
      </c>
      <c r="I13" s="27">
        <f>H13-$F$26</f>
        <v>1.1724018961980425E-2</v>
      </c>
      <c r="J13" s="34">
        <f t="shared" si="3"/>
        <v>1.1724018961980425E-2</v>
      </c>
    </row>
    <row r="14" spans="1:10" x14ac:dyDescent="0.2">
      <c r="A14" s="21">
        <v>-20</v>
      </c>
      <c r="B14" s="21">
        <f t="shared" si="1"/>
        <v>0.98</v>
      </c>
      <c r="C14" s="21">
        <f t="shared" si="0"/>
        <v>1.1137611568720018E-2</v>
      </c>
      <c r="D14" s="21">
        <f>C14/(1+C14)</f>
        <v>1.1014931539773972E-2</v>
      </c>
      <c r="E14" s="21">
        <f t="shared" si="2"/>
        <v>0.98898506846022605</v>
      </c>
      <c r="F14" s="27">
        <f t="shared" si="5"/>
        <v>1.039010390867185E-4</v>
      </c>
      <c r="G14" s="27">
        <f>F14/E14</f>
        <v>1.0505824850165276E-4</v>
      </c>
      <c r="H14" s="27">
        <f>G14*((16*15) /2)</f>
        <v>1.2606989820198332E-2</v>
      </c>
      <c r="I14" s="27">
        <f>H14-$F$26</f>
        <v>1.1605779366345314E-2</v>
      </c>
      <c r="J14" s="34">
        <f t="shared" si="3"/>
        <v>1.1605779366345314E-2</v>
      </c>
    </row>
    <row r="15" spans="1:10" x14ac:dyDescent="0.2">
      <c r="A15" s="28">
        <v>-24</v>
      </c>
      <c r="B15" s="28">
        <f t="shared" si="1"/>
        <v>0.97599999999999998</v>
      </c>
      <c r="C15" s="28">
        <f t="shared" si="0"/>
        <v>1.1092151929664017E-2</v>
      </c>
      <c r="D15" s="28">
        <f t="shared" ref="D15:D20" si="7">C15/(1+C15)</f>
        <v>1.0970465855653913E-2</v>
      </c>
      <c r="E15" s="28">
        <f t="shared" si="2"/>
        <v>0.98902953414434613</v>
      </c>
      <c r="F15" s="29">
        <f t="shared" si="5"/>
        <v>1.0312875818795935E-4</v>
      </c>
      <c r="G15" s="29">
        <f t="shared" si="6"/>
        <v>1.0427267804209778E-4</v>
      </c>
      <c r="H15" s="29">
        <f t="shared" si="4"/>
        <v>1.2512721365051733E-2</v>
      </c>
      <c r="I15" s="27">
        <f>H15-$F$26</f>
        <v>1.1511510911198715E-2</v>
      </c>
      <c r="J15" s="34">
        <f t="shared" si="3"/>
        <v>1.1511510911198715E-2</v>
      </c>
    </row>
    <row r="16" spans="1:10" x14ac:dyDescent="0.2">
      <c r="A16" s="21">
        <v>-25</v>
      </c>
      <c r="B16" s="21">
        <f>(A16/1000)+1</f>
        <v>0.97499999999999998</v>
      </c>
      <c r="C16" s="21">
        <f t="shared" si="0"/>
        <v>1.1080787019900019E-2</v>
      </c>
      <c r="D16" s="21">
        <f t="shared" si="7"/>
        <v>1.0959348809861151E-2</v>
      </c>
      <c r="E16" s="21">
        <f t="shared" si="2"/>
        <v>0.98904065119013884</v>
      </c>
      <c r="F16" s="27">
        <f t="shared" si="5"/>
        <v>1.0293604786789571E-4</v>
      </c>
      <c r="G16" s="27">
        <f t="shared" si="6"/>
        <v>1.0407666029099009E-4</v>
      </c>
      <c r="H16" s="27">
        <f t="shared" si="4"/>
        <v>1.2489199234918811E-2</v>
      </c>
      <c r="I16" s="27">
        <f>H16-$F$26</f>
        <v>1.1487988781065793E-2</v>
      </c>
      <c r="J16" s="34">
        <f t="shared" si="3"/>
        <v>1.1487988781065793E-2</v>
      </c>
    </row>
    <row r="17" spans="1:10" x14ac:dyDescent="0.2">
      <c r="A17" s="29">
        <v>-25.68</v>
      </c>
      <c r="B17" s="29">
        <f>(A17/1000)+1</f>
        <v>0.97431999999999996</v>
      </c>
      <c r="C17" s="29">
        <f t="shared" si="0"/>
        <v>1.1073058881260499E-2</v>
      </c>
      <c r="D17" s="29">
        <f t="shared" si="7"/>
        <v>1.095178907596717E-2</v>
      </c>
      <c r="E17" s="29">
        <f t="shared" si="2"/>
        <v>0.98904821092403283</v>
      </c>
      <c r="F17" s="29">
        <f t="shared" si="5"/>
        <v>1.0280508718480139E-4</v>
      </c>
      <c r="G17" s="29">
        <f t="shared" si="6"/>
        <v>1.0394345396849182E-4</v>
      </c>
      <c r="H17" s="29">
        <f t="shared" si="4"/>
        <v>1.2473214476219019E-2</v>
      </c>
      <c r="I17" s="27">
        <f>H17-$F$26</f>
        <v>1.1472004022366001E-2</v>
      </c>
      <c r="J17" s="34">
        <f t="shared" si="3"/>
        <v>1.1472004022366001E-2</v>
      </c>
    </row>
    <row r="18" spans="1:10" x14ac:dyDescent="0.2">
      <c r="A18" s="21">
        <v>-30</v>
      </c>
      <c r="B18" s="21">
        <f t="shared" si="1"/>
        <v>0.97</v>
      </c>
      <c r="C18" s="21">
        <f t="shared" si="0"/>
        <v>1.1023962471080019E-2</v>
      </c>
      <c r="D18" s="21">
        <f t="shared" si="7"/>
        <v>1.0903759831899489E-2</v>
      </c>
      <c r="E18" s="21">
        <f t="shared" si="2"/>
        <v>0.98909624016810049</v>
      </c>
      <c r="F18" s="27">
        <f t="shared" si="5"/>
        <v>1.0197466048441824E-4</v>
      </c>
      <c r="G18" s="27">
        <f t="shared" si="6"/>
        <v>1.0309882531459959E-4</v>
      </c>
      <c r="H18" s="27">
        <f t="shared" si="4"/>
        <v>1.237185903775195E-2</v>
      </c>
      <c r="I18" s="27">
        <f>H18-$F$26</f>
        <v>1.1370648583898932E-2</v>
      </c>
      <c r="J18" s="34">
        <f t="shared" si="3"/>
        <v>1.1370648583898932E-2</v>
      </c>
    </row>
    <row r="19" spans="1:10" x14ac:dyDescent="0.2">
      <c r="A19" s="27">
        <f>B31</f>
        <v>-7.2636622118606997</v>
      </c>
      <c r="B19" s="27">
        <f t="shared" si="1"/>
        <v>0.9927363377881393</v>
      </c>
      <c r="C19" s="27">
        <f t="shared" si="0"/>
        <v>1.1282358898406045E-2</v>
      </c>
      <c r="D19" s="27">
        <f t="shared" si="7"/>
        <v>1.1156487403474498E-2</v>
      </c>
      <c r="E19" s="27">
        <f t="shared" si="2"/>
        <v>0.98884351259652548</v>
      </c>
      <c r="F19" s="27">
        <f t="shared" si="5"/>
        <v>1.0637532990025476E-4</v>
      </c>
      <c r="G19" s="27">
        <f>F19/E19</f>
        <v>1.0757549455012579E-4</v>
      </c>
      <c r="H19" s="27">
        <f t="shared" si="4"/>
        <v>1.2909059346015094E-2</v>
      </c>
      <c r="I19" s="27">
        <f>H19-$F$26</f>
        <v>1.1907848892162076E-2</v>
      </c>
      <c r="J19" s="34">
        <f t="shared" si="3"/>
        <v>1.1907848892162076E-2</v>
      </c>
    </row>
    <row r="20" spans="1:10" x14ac:dyDescent="0.2">
      <c r="A20" s="27">
        <f>B32</f>
        <v>-11.270996779567666</v>
      </c>
      <c r="B20" s="27">
        <f t="shared" si="1"/>
        <v>0.98872900322043233</v>
      </c>
      <c r="C20" s="27">
        <f t="shared" si="0"/>
        <v>1.1236815902649898E-2</v>
      </c>
      <c r="D20" s="27">
        <f t="shared" si="7"/>
        <v>1.1111952933220389E-2</v>
      </c>
      <c r="E20" s="27">
        <f t="shared" si="2"/>
        <v>0.98888804706677957</v>
      </c>
      <c r="F20" s="27">
        <f t="shared" si="5"/>
        <v>1.0559432330372492E-4</v>
      </c>
      <c r="G20" s="27">
        <f t="shared" si="6"/>
        <v>1.0678086727505377E-4</v>
      </c>
      <c r="H20" s="27">
        <f t="shared" si="4"/>
        <v>1.2813704073006452E-2</v>
      </c>
      <c r="I20" s="27">
        <f>H20-$F$26</f>
        <v>1.1812493619153434E-2</v>
      </c>
      <c r="J20" s="34">
        <f t="shared" si="3"/>
        <v>1.1812493619153434E-2</v>
      </c>
    </row>
    <row r="21" spans="1:10" x14ac:dyDescent="0.2">
      <c r="A21" s="21"/>
      <c r="B21" s="21"/>
      <c r="C21" s="21"/>
      <c r="D21" s="21"/>
      <c r="E21" s="21"/>
      <c r="F21" s="21"/>
      <c r="G21" s="21"/>
      <c r="H21" s="21"/>
      <c r="I21" s="21"/>
    </row>
    <row r="22" spans="1:10" x14ac:dyDescent="0.2">
      <c r="A22" s="21"/>
      <c r="B22" s="21"/>
      <c r="C22" s="21"/>
      <c r="D22" s="21"/>
      <c r="E22" s="21"/>
      <c r="F22" s="21"/>
      <c r="G22" s="21"/>
      <c r="H22" s="21"/>
      <c r="I22" s="21"/>
    </row>
    <row r="23" spans="1:10" x14ac:dyDescent="0.2">
      <c r="A23" s="21"/>
      <c r="B23" s="21"/>
      <c r="C23" s="21"/>
      <c r="D23" s="21"/>
      <c r="E23" s="21"/>
      <c r="F23" s="21"/>
      <c r="G23" s="21"/>
      <c r="H23" s="21"/>
      <c r="I23" s="21"/>
    </row>
    <row r="24" spans="1:10" x14ac:dyDescent="0.2">
      <c r="A24" s="21"/>
      <c r="B24" s="21"/>
      <c r="C24" s="21"/>
      <c r="D24" s="21"/>
      <c r="E24" s="21"/>
      <c r="F24" s="21"/>
      <c r="G24" s="21"/>
      <c r="H24" s="21"/>
      <c r="I24" s="21"/>
    </row>
    <row r="25" spans="1:10" ht="51" x14ac:dyDescent="0.2">
      <c r="A25" s="17" t="s">
        <v>76</v>
      </c>
      <c r="B25" s="17" t="s">
        <v>77</v>
      </c>
      <c r="C25" s="17" t="s">
        <v>78</v>
      </c>
      <c r="D25" s="17" t="s">
        <v>79</v>
      </c>
      <c r="E25" s="17" t="s">
        <v>80</v>
      </c>
      <c r="F25" s="20" t="s">
        <v>81</v>
      </c>
      <c r="G25" s="17" t="s">
        <v>82</v>
      </c>
      <c r="H25" s="21"/>
      <c r="I25" s="21"/>
    </row>
    <row r="26" spans="1:10" ht="17" x14ac:dyDescent="0.2">
      <c r="A26" s="21" t="s">
        <v>0</v>
      </c>
      <c r="B26" s="21">
        <f>'processed data'!B42</f>
        <v>-25.688333333333333</v>
      </c>
      <c r="C26" s="21">
        <f>'processed data'!C42</f>
        <v>0.45601315770490564</v>
      </c>
      <c r="D26" s="21">
        <f>'processed data'!D16</f>
        <v>1.1472004022366001E-2</v>
      </c>
      <c r="E26" s="21">
        <f>'processed data'!E16</f>
        <v>1.3610098191089175E-2</v>
      </c>
      <c r="F26" s="21">
        <f>H17-D26</f>
        <v>1.0012104538530183E-3</v>
      </c>
      <c r="G26" s="21">
        <f>F26+D26</f>
        <v>1.2473214476219019E-2</v>
      </c>
      <c r="H26" s="21"/>
      <c r="I26" s="21"/>
    </row>
    <row r="27" spans="1:10" ht="17" x14ac:dyDescent="0.2">
      <c r="A27" s="21" t="s">
        <v>1</v>
      </c>
      <c r="B27" s="21">
        <f>'processed data'!B43</f>
        <v>-25.683333333333334</v>
      </c>
      <c r="C27" s="21">
        <f>'processed data'!C43</f>
        <v>0.66467059510708049</v>
      </c>
      <c r="D27" s="21">
        <f>'processed data'!D36</f>
        <v>1.18881944642015E-2</v>
      </c>
      <c r="E27" s="21">
        <f>'processed data'!E36</f>
        <v>1.1400828822682537E-2</v>
      </c>
      <c r="F27" s="21">
        <f>H17-D27</f>
        <v>5.8502001201751926E-4</v>
      </c>
      <c r="G27" s="21">
        <f t="shared" ref="G26:G27" si="8">F27+D27</f>
        <v>1.2473214476219019E-2</v>
      </c>
      <c r="H27" s="17"/>
      <c r="I27" s="17"/>
    </row>
    <row r="28" spans="1:10" x14ac:dyDescent="0.2">
      <c r="A28" s="21"/>
      <c r="B28" s="21"/>
      <c r="C28" s="21"/>
      <c r="D28" s="21"/>
      <c r="E28" s="21"/>
      <c r="F28" s="21"/>
      <c r="G28" s="21"/>
      <c r="H28" s="21"/>
      <c r="I28" s="21"/>
    </row>
    <row r="29" spans="1:10" x14ac:dyDescent="0.2">
      <c r="A29" s="21"/>
      <c r="B29" s="21"/>
      <c r="C29" s="21"/>
      <c r="D29" s="21"/>
      <c r="E29" s="21"/>
      <c r="F29" s="21"/>
      <c r="G29" s="21"/>
      <c r="H29" s="21"/>
      <c r="I29" s="21"/>
    </row>
    <row r="30" spans="1:10" ht="51" x14ac:dyDescent="0.2">
      <c r="A30" s="21" t="s">
        <v>83</v>
      </c>
      <c r="B30" s="21" t="s">
        <v>84</v>
      </c>
      <c r="C30" s="37" t="s">
        <v>85</v>
      </c>
      <c r="D30" s="38" t="s">
        <v>79</v>
      </c>
      <c r="E30" s="17" t="s">
        <v>80</v>
      </c>
      <c r="F30" s="36" t="s">
        <v>91</v>
      </c>
      <c r="G30" s="35" t="s">
        <v>80</v>
      </c>
    </row>
    <row r="31" spans="1:10" ht="17" x14ac:dyDescent="0.2">
      <c r="A31" s="21" t="s">
        <v>0</v>
      </c>
      <c r="B31" s="35">
        <f>'processed data'!G42</f>
        <v>-7.2636622118606997</v>
      </c>
      <c r="C31" s="37">
        <f>'processed data'!H42</f>
        <v>2.1084240162311967</v>
      </c>
      <c r="D31" s="39">
        <f>'processed data'!D17</f>
        <v>1.2651741962736733E-2</v>
      </c>
      <c r="E31" s="25">
        <f>'processed data'!E17</f>
        <v>9.7008807771542405E-3</v>
      </c>
      <c r="F31" s="35">
        <f>D31+F26</f>
        <v>1.3652952416589752E-2</v>
      </c>
      <c r="G31" s="35">
        <f>E31*1000</f>
        <v>9.7008807771542411</v>
      </c>
    </row>
    <row r="32" spans="1:10" ht="17" x14ac:dyDescent="0.2">
      <c r="A32" s="21" t="s">
        <v>1</v>
      </c>
      <c r="B32" s="35">
        <f>'processed data'!G43</f>
        <v>-11.270996779567666</v>
      </c>
      <c r="C32" s="37">
        <f>'processed data'!H43</f>
        <v>1.2915140922658894</v>
      </c>
      <c r="D32" s="39">
        <f>'processed data'!D37</f>
        <v>1.22592479533717E-2</v>
      </c>
      <c r="E32" s="25">
        <f>'processed data'!E37</f>
        <v>9.1897710454718583E-3</v>
      </c>
      <c r="F32" s="35">
        <f>D32+F27</f>
        <v>1.2844267965389219E-2</v>
      </c>
      <c r="G32" s="35">
        <f>E32*1000</f>
        <v>9.1897710454718577</v>
      </c>
    </row>
    <row r="33" spans="7:9" x14ac:dyDescent="0.2">
      <c r="G33" s="21"/>
    </row>
    <row r="34" spans="7:9" x14ac:dyDescent="0.2">
      <c r="I34" s="21"/>
    </row>
    <row r="35" spans="7:9" x14ac:dyDescent="0.2">
      <c r="I3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</vt:lpstr>
      <vt:lpstr>time frames</vt:lpstr>
      <vt:lpstr>2x13C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2023-02-22T21:07:21Z</dcterms:created>
  <dcterms:modified xsi:type="dcterms:W3CDTF">2023-02-24T16:56:27Z</dcterms:modified>
</cp:coreProperties>
</file>