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zeichner/Documents/Caltech/Research/Hayabusa2/Science submission/For Publication/Supplemental files/"/>
    </mc:Choice>
  </mc:AlternateContent>
  <xr:revisionPtr revIDLastSave="0" documentId="13_ncr:1_{2304AD35-C398-EF4F-A4F3-DDAEB2D39F26}" xr6:coauthVersionLast="47" xr6:coauthVersionMax="47" xr10:uidLastSave="{00000000-0000-0000-0000-000000000000}"/>
  <bookViews>
    <workbookView xWindow="0" yWindow="500" windowWidth="30680" windowHeight="21100" activeTab="3" xr2:uid="{7A82161D-33CB-B54F-9DDB-E66BC0D2AE15}"/>
  </bookViews>
  <sheets>
    <sheet name="2x13C plots - FINAL" sheetId="14" r:id="rId1"/>
    <sheet name="2x13C plots - v2" sheetId="11" r:id="rId2"/>
    <sheet name="2x13C plots - v1" sheetId="4" r:id="rId3"/>
    <sheet name="collated data - FINAL" sheetId="10" r:id="rId4"/>
    <sheet name="collated data - v2" sheetId="3" r:id="rId5"/>
    <sheet name="collated data - v1" sheetId="1" r:id="rId6"/>
    <sheet name="dD values from WY" sheetId="13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0" i="10" l="1"/>
  <c r="D28" i="14"/>
  <c r="F29" i="14"/>
  <c r="I14" i="14"/>
  <c r="E10" i="14"/>
  <c r="D10" i="14"/>
  <c r="G10" i="14"/>
  <c r="F10" i="14"/>
  <c r="BB111" i="10"/>
  <c r="J37" i="14"/>
  <c r="J38" i="14"/>
  <c r="J39" i="14"/>
  <c r="J40" i="14"/>
  <c r="I40" i="14"/>
  <c r="I39" i="14"/>
  <c r="I38" i="14"/>
  <c r="I37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10" i="14"/>
  <c r="M21" i="14"/>
  <c r="M22" i="14"/>
  <c r="M23" i="14"/>
  <c r="M24" i="14"/>
  <c r="M25" i="14"/>
  <c r="M10" i="14"/>
  <c r="I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10" i="14"/>
  <c r="G20" i="14"/>
  <c r="G21" i="14"/>
  <c r="G22" i="14"/>
  <c r="G23" i="14"/>
  <c r="G24" i="14"/>
  <c r="G25" i="14"/>
  <c r="I11" i="14"/>
  <c r="I12" i="14"/>
  <c r="I13" i="14"/>
  <c r="I15" i="14"/>
  <c r="I16" i="14"/>
  <c r="I17" i="14"/>
  <c r="I18" i="14"/>
  <c r="I19" i="14"/>
  <c r="H21" i="14"/>
  <c r="I21" i="14" s="1"/>
  <c r="A25" i="14"/>
  <c r="B25" i="14" s="1"/>
  <c r="C25" i="14" s="1"/>
  <c r="D25" i="14" s="1"/>
  <c r="E25" i="14" s="1"/>
  <c r="A24" i="14"/>
  <c r="B24" i="14" s="1"/>
  <c r="C24" i="14" s="1"/>
  <c r="D24" i="14" s="1"/>
  <c r="E24" i="14" s="1"/>
  <c r="A23" i="14"/>
  <c r="B23" i="14" s="1"/>
  <c r="C23" i="14" s="1"/>
  <c r="D23" i="14" s="1"/>
  <c r="E23" i="14" s="1"/>
  <c r="A22" i="14"/>
  <c r="B22" i="14" s="1"/>
  <c r="C22" i="14" s="1"/>
  <c r="D22" i="14" s="1"/>
  <c r="E22" i="14" s="1"/>
  <c r="B21" i="14"/>
  <c r="C21" i="14" s="1"/>
  <c r="D21" i="14" s="1"/>
  <c r="E21" i="14" s="1"/>
  <c r="A21" i="14"/>
  <c r="E22" i="11"/>
  <c r="F22" i="11" s="1"/>
  <c r="G22" i="11" s="1"/>
  <c r="H22" i="11" s="1"/>
  <c r="I22" i="11" s="1"/>
  <c r="J22" i="11"/>
  <c r="K22" i="11"/>
  <c r="L22" i="11"/>
  <c r="M22" i="11"/>
  <c r="N22" i="11"/>
  <c r="O22" i="11"/>
  <c r="P22" i="11"/>
  <c r="Q22" i="11" s="1"/>
  <c r="E23" i="11"/>
  <c r="F23" i="11" s="1"/>
  <c r="G23" i="11" s="1"/>
  <c r="H23" i="11" s="1"/>
  <c r="I23" i="11" s="1"/>
  <c r="J23" i="11"/>
  <c r="K23" i="11"/>
  <c r="L23" i="11"/>
  <c r="M23" i="11"/>
  <c r="N23" i="11"/>
  <c r="O23" i="11"/>
  <c r="P23" i="11" s="1"/>
  <c r="Q23" i="11" s="1"/>
  <c r="E24" i="11"/>
  <c r="F24" i="11"/>
  <c r="G24" i="11" s="1"/>
  <c r="H24" i="11" s="1"/>
  <c r="I24" i="11" s="1"/>
  <c r="J24" i="11"/>
  <c r="K24" i="11"/>
  <c r="L24" i="11"/>
  <c r="M24" i="11"/>
  <c r="N24" i="11"/>
  <c r="O24" i="11" s="1"/>
  <c r="P24" i="11" s="1"/>
  <c r="Q24" i="11" s="1"/>
  <c r="E25" i="11"/>
  <c r="N25" i="11" s="1"/>
  <c r="O25" i="11" s="1"/>
  <c r="P25" i="11" s="1"/>
  <c r="Q25" i="11" s="1"/>
  <c r="F25" i="11"/>
  <c r="G25" i="11"/>
  <c r="H25" i="11"/>
  <c r="I25" i="11"/>
  <c r="J25" i="11"/>
  <c r="K25" i="11"/>
  <c r="L25" i="11"/>
  <c r="M25" i="11"/>
  <c r="E26" i="11"/>
  <c r="N26" i="11" s="1"/>
  <c r="O26" i="11" s="1"/>
  <c r="P26" i="11" s="1"/>
  <c r="Q26" i="11" s="1"/>
  <c r="F26" i="11"/>
  <c r="G26" i="11"/>
  <c r="H26" i="11"/>
  <c r="I26" i="11"/>
  <c r="J26" i="11"/>
  <c r="K26" i="11"/>
  <c r="L26" i="11"/>
  <c r="M26" i="11" s="1"/>
  <c r="D22" i="11"/>
  <c r="D23" i="11"/>
  <c r="D24" i="11"/>
  <c r="D25" i="11"/>
  <c r="D26" i="11"/>
  <c r="C22" i="11"/>
  <c r="C23" i="11"/>
  <c r="C24" i="11"/>
  <c r="C25" i="11"/>
  <c r="C26" i="11"/>
  <c r="B22" i="11"/>
  <c r="B23" i="11"/>
  <c r="B24" i="11"/>
  <c r="B25" i="11"/>
  <c r="B26" i="11"/>
  <c r="A26" i="11"/>
  <c r="A25" i="11"/>
  <c r="E40" i="14"/>
  <c r="G39" i="14"/>
  <c r="F39" i="14"/>
  <c r="G38" i="14"/>
  <c r="F38" i="14"/>
  <c r="G37" i="14"/>
  <c r="F37" i="14"/>
  <c r="F36" i="14"/>
  <c r="J23" i="14" l="1"/>
  <c r="L23" i="14" s="1"/>
  <c r="N23" i="14"/>
  <c r="P23" i="14" s="1"/>
  <c r="F23" i="14"/>
  <c r="H23" i="14" s="1"/>
  <c r="I23" i="14" s="1"/>
  <c r="J24" i="14"/>
  <c r="L24" i="14" s="1"/>
  <c r="F24" i="14"/>
  <c r="H24" i="14" s="1"/>
  <c r="I24" i="14" s="1"/>
  <c r="N24" i="14"/>
  <c r="P24" i="14" s="1"/>
  <c r="N21" i="14"/>
  <c r="P21" i="14" s="1"/>
  <c r="J21" i="14"/>
  <c r="L21" i="14" s="1"/>
  <c r="F21" i="14"/>
  <c r="J22" i="14"/>
  <c r="L22" i="14" s="1"/>
  <c r="F22" i="14"/>
  <c r="H22" i="14" s="1"/>
  <c r="I22" i="14" s="1"/>
  <c r="N22" i="14"/>
  <c r="P22" i="14" s="1"/>
  <c r="N25" i="14"/>
  <c r="P25" i="14" s="1"/>
  <c r="J25" i="14"/>
  <c r="L25" i="14" s="1"/>
  <c r="F25" i="14"/>
  <c r="H25" i="14" s="1"/>
  <c r="I25" i="14" s="1"/>
  <c r="G40" i="14" l="1"/>
  <c r="F40" i="14"/>
  <c r="D40" i="14"/>
  <c r="C40" i="14"/>
  <c r="B40" i="14"/>
  <c r="E39" i="14"/>
  <c r="D39" i="14"/>
  <c r="C39" i="14"/>
  <c r="B39" i="14"/>
  <c r="E38" i="14"/>
  <c r="D38" i="14"/>
  <c r="C38" i="14"/>
  <c r="B38" i="14"/>
  <c r="E37" i="14"/>
  <c r="D37" i="14"/>
  <c r="C37" i="14"/>
  <c r="B37" i="14"/>
  <c r="G36" i="14"/>
  <c r="E36" i="14"/>
  <c r="D36" i="14"/>
  <c r="C36" i="14"/>
  <c r="B36" i="14"/>
  <c r="E32" i="14"/>
  <c r="D32" i="14"/>
  <c r="E31" i="14"/>
  <c r="D31" i="14"/>
  <c r="E30" i="14"/>
  <c r="D30" i="14"/>
  <c r="E29" i="14"/>
  <c r="D29" i="14"/>
  <c r="E28" i="14"/>
  <c r="B20" i="14"/>
  <c r="B19" i="14"/>
  <c r="B18" i="14"/>
  <c r="B17" i="14"/>
  <c r="B16" i="14"/>
  <c r="B15" i="14"/>
  <c r="B14" i="14"/>
  <c r="B13" i="14"/>
  <c r="B12" i="14"/>
  <c r="B11" i="14"/>
  <c r="B10" i="14"/>
  <c r="B5" i="14"/>
  <c r="B3" i="14"/>
  <c r="F4" i="14" s="1"/>
  <c r="BA130" i="10"/>
  <c r="BA131" i="10" s="1"/>
  <c r="AZ130" i="10"/>
  <c r="AZ131" i="10" s="1"/>
  <c r="AP130" i="10"/>
  <c r="AP131" i="10" s="1"/>
  <c r="AO130" i="10"/>
  <c r="AO131" i="10" s="1"/>
  <c r="AE130" i="10"/>
  <c r="AE131" i="10" s="1"/>
  <c r="AD130" i="10"/>
  <c r="AD131" i="10" s="1"/>
  <c r="S130" i="10"/>
  <c r="T131" i="10"/>
  <c r="T130" i="10"/>
  <c r="S131" i="10"/>
  <c r="I131" i="10"/>
  <c r="I130" i="10"/>
  <c r="H131" i="10"/>
  <c r="H130" i="10"/>
  <c r="AY2" i="10"/>
  <c r="AX2" i="10"/>
  <c r="AO2" i="10"/>
  <c r="AN2" i="10"/>
  <c r="AD2" i="10"/>
  <c r="AC2" i="10"/>
  <c r="G2" i="10"/>
  <c r="F2" i="10"/>
  <c r="F73" i="13"/>
  <c r="E73" i="13"/>
  <c r="F70" i="13"/>
  <c r="E70" i="13"/>
  <c r="F67" i="13"/>
  <c r="E67" i="13"/>
  <c r="F63" i="13"/>
  <c r="E63" i="13"/>
  <c r="B39" i="13"/>
  <c r="H37" i="13"/>
  <c r="H36" i="13"/>
  <c r="H35" i="13"/>
  <c r="B35" i="13"/>
  <c r="H34" i="13"/>
  <c r="G4" i="14" l="1"/>
  <c r="H4" i="14"/>
  <c r="F3" i="14"/>
  <c r="G3" i="14"/>
  <c r="H3" i="14"/>
  <c r="B4" i="14"/>
  <c r="C13" i="14" s="1"/>
  <c r="D13" i="14" s="1"/>
  <c r="E13" i="14" s="1"/>
  <c r="AZ19" i="10"/>
  <c r="C19" i="14" l="1"/>
  <c r="D19" i="14" s="1"/>
  <c r="E19" i="14" s="1"/>
  <c r="C10" i="14"/>
  <c r="C5" i="14"/>
  <c r="N13" i="14"/>
  <c r="P13" i="14" s="1"/>
  <c r="F13" i="14"/>
  <c r="J13" i="14"/>
  <c r="L13" i="14" s="1"/>
  <c r="H10" i="14"/>
  <c r="N10" i="14"/>
  <c r="P10" i="14" s="1"/>
  <c r="J10" i="14"/>
  <c r="L10" i="14" s="1"/>
  <c r="C20" i="14"/>
  <c r="D20" i="14" s="1"/>
  <c r="E20" i="14" s="1"/>
  <c r="C17" i="14"/>
  <c r="D17" i="14" s="1"/>
  <c r="E17" i="14" s="1"/>
  <c r="C16" i="14"/>
  <c r="D16" i="14" s="1"/>
  <c r="E16" i="14" s="1"/>
  <c r="C12" i="14"/>
  <c r="D12" i="14" s="1"/>
  <c r="E12" i="14" s="1"/>
  <c r="F19" i="14"/>
  <c r="N19" i="14"/>
  <c r="P19" i="14" s="1"/>
  <c r="J19" i="14"/>
  <c r="L19" i="14" s="1"/>
  <c r="C15" i="14"/>
  <c r="D15" i="14" s="1"/>
  <c r="E15" i="14" s="1"/>
  <c r="C18" i="14"/>
  <c r="D18" i="14" s="1"/>
  <c r="E18" i="14" s="1"/>
  <c r="C14" i="14"/>
  <c r="D14" i="14" s="1"/>
  <c r="E14" i="14" s="1"/>
  <c r="C11" i="14"/>
  <c r="D11" i="14" s="1"/>
  <c r="E11" i="14" s="1"/>
  <c r="AF21" i="10"/>
  <c r="BC21" i="10"/>
  <c r="AR21" i="10"/>
  <c r="AG21" i="10"/>
  <c r="V21" i="10"/>
  <c r="K21" i="10"/>
  <c r="J21" i="10"/>
  <c r="BB21" i="10"/>
  <c r="AQ21" i="10"/>
  <c r="U21" i="10"/>
  <c r="G13" i="14" l="1"/>
  <c r="H13" i="14" s="1"/>
  <c r="G19" i="14"/>
  <c r="H19" i="14" s="1"/>
  <c r="J12" i="14"/>
  <c r="L12" i="14" s="1"/>
  <c r="F12" i="14"/>
  <c r="N12" i="14"/>
  <c r="P12" i="14" s="1"/>
  <c r="J17" i="14"/>
  <c r="L17" i="14" s="1"/>
  <c r="F17" i="14"/>
  <c r="N17" i="14"/>
  <c r="P17" i="14" s="1"/>
  <c r="J11" i="14"/>
  <c r="L11" i="14" s="1"/>
  <c r="N11" i="14"/>
  <c r="P11" i="14" s="1"/>
  <c r="F11" i="14"/>
  <c r="F15" i="14"/>
  <c r="N15" i="14"/>
  <c r="P15" i="14" s="1"/>
  <c r="J15" i="14"/>
  <c r="L15" i="14" s="1"/>
  <c r="F16" i="14"/>
  <c r="J16" i="14"/>
  <c r="L16" i="14" s="1"/>
  <c r="N16" i="14"/>
  <c r="P16" i="14" s="1"/>
  <c r="J20" i="14"/>
  <c r="L20" i="14" s="1"/>
  <c r="N20" i="14"/>
  <c r="P20" i="14" s="1"/>
  <c r="F20" i="14"/>
  <c r="J14" i="14"/>
  <c r="L14" i="14" s="1"/>
  <c r="N14" i="14"/>
  <c r="P14" i="14" s="1"/>
  <c r="F14" i="14"/>
  <c r="F18" i="14"/>
  <c r="J18" i="14"/>
  <c r="L18" i="14" s="1"/>
  <c r="N18" i="14"/>
  <c r="P18" i="14" s="1"/>
  <c r="AZ62" i="10"/>
  <c r="G16" i="14" l="1"/>
  <c r="H16" i="14" s="1"/>
  <c r="G17" i="14"/>
  <c r="H17" i="14" s="1"/>
  <c r="F30" i="14"/>
  <c r="M20" i="14" s="1"/>
  <c r="F28" i="14"/>
  <c r="G18" i="14"/>
  <c r="H18" i="14" s="1"/>
  <c r="G14" i="14"/>
  <c r="H14" i="14" s="1"/>
  <c r="H20" i="14"/>
  <c r="I20" i="14" s="1"/>
  <c r="G11" i="14"/>
  <c r="H11" i="14" s="1"/>
  <c r="G15" i="14"/>
  <c r="H15" i="14" s="1"/>
  <c r="G12" i="14"/>
  <c r="H12" i="14" s="1"/>
  <c r="AZ61" i="10"/>
  <c r="H20" i="10"/>
  <c r="BB50" i="10"/>
  <c r="BB51" i="10"/>
  <c r="BB53" i="10"/>
  <c r="BB54" i="10"/>
  <c r="BB49" i="10"/>
  <c r="BB70" i="10"/>
  <c r="BB71" i="10"/>
  <c r="BB72" i="10"/>
  <c r="BB73" i="10"/>
  <c r="BB74" i="10"/>
  <c r="BB75" i="10"/>
  <c r="BB76" i="10"/>
  <c r="BB77" i="10"/>
  <c r="BB78" i="10"/>
  <c r="BB69" i="10"/>
  <c r="BB98" i="10"/>
  <c r="BB97" i="10"/>
  <c r="BB96" i="10"/>
  <c r="BB95" i="10"/>
  <c r="BB94" i="10"/>
  <c r="BB92" i="10"/>
  <c r="BB91" i="10"/>
  <c r="BB90" i="10"/>
  <c r="BB89" i="10"/>
  <c r="BB88" i="10"/>
  <c r="BB123" i="10"/>
  <c r="BB122" i="10"/>
  <c r="BB121" i="10"/>
  <c r="BB120" i="10"/>
  <c r="BB119" i="10"/>
  <c r="BB117" i="10"/>
  <c r="BB116" i="10"/>
  <c r="BB115" i="10"/>
  <c r="BB114" i="10"/>
  <c r="BB113" i="10"/>
  <c r="AQ123" i="10"/>
  <c r="AQ122" i="10"/>
  <c r="AQ121" i="10"/>
  <c r="AQ120" i="10"/>
  <c r="AQ119" i="10"/>
  <c r="AQ117" i="10"/>
  <c r="AQ116" i="10"/>
  <c r="AQ115" i="10"/>
  <c r="AQ114" i="10"/>
  <c r="AQ113" i="10"/>
  <c r="AQ89" i="10"/>
  <c r="AQ90" i="10"/>
  <c r="AQ91" i="10"/>
  <c r="AQ92" i="10"/>
  <c r="AQ94" i="10"/>
  <c r="AQ95" i="10"/>
  <c r="AQ96" i="10"/>
  <c r="AQ97" i="10"/>
  <c r="AQ98" i="10"/>
  <c r="AQ88" i="10"/>
  <c r="AQ70" i="10"/>
  <c r="AQ71" i="10"/>
  <c r="AQ72" i="10"/>
  <c r="AQ73" i="10"/>
  <c r="AQ74" i="10"/>
  <c r="AQ75" i="10"/>
  <c r="AQ76" i="10"/>
  <c r="AQ77" i="10"/>
  <c r="AQ78" i="10"/>
  <c r="AQ69" i="10"/>
  <c r="AQ54" i="10"/>
  <c r="AQ57" i="10"/>
  <c r="AQ58" i="10"/>
  <c r="AQ59" i="10"/>
  <c r="AQ50" i="10"/>
  <c r="AQ51" i="10"/>
  <c r="AQ53" i="10"/>
  <c r="AQ49" i="10"/>
  <c r="AQ16" i="10"/>
  <c r="AQ17" i="10"/>
  <c r="AQ15" i="10"/>
  <c r="AF70" i="10"/>
  <c r="AF71" i="10"/>
  <c r="AF72" i="10"/>
  <c r="AF73" i="10"/>
  <c r="AF74" i="10"/>
  <c r="AF75" i="10"/>
  <c r="AF76" i="10"/>
  <c r="AF77" i="10"/>
  <c r="AF78" i="10"/>
  <c r="AF69" i="10"/>
  <c r="AF50" i="10"/>
  <c r="AF51" i="10"/>
  <c r="AF53" i="10"/>
  <c r="AF54" i="10"/>
  <c r="AF49" i="10"/>
  <c r="U57" i="10"/>
  <c r="U58" i="10"/>
  <c r="U59" i="10"/>
  <c r="U50" i="10"/>
  <c r="U51" i="10"/>
  <c r="U53" i="10"/>
  <c r="U54" i="10"/>
  <c r="U49" i="10"/>
  <c r="S61" i="10"/>
  <c r="U70" i="10"/>
  <c r="U71" i="10"/>
  <c r="U72" i="10"/>
  <c r="U73" i="10"/>
  <c r="U74" i="10"/>
  <c r="U75" i="10"/>
  <c r="U76" i="10"/>
  <c r="U77" i="10"/>
  <c r="U78" i="10"/>
  <c r="U69" i="10"/>
  <c r="AF123" i="10"/>
  <c r="AF122" i="10"/>
  <c r="AF121" i="10"/>
  <c r="AF120" i="10"/>
  <c r="AF119" i="10"/>
  <c r="AF117" i="10"/>
  <c r="AF116" i="10"/>
  <c r="AF92" i="10"/>
  <c r="AF94" i="10"/>
  <c r="AF95" i="10"/>
  <c r="AF96" i="10"/>
  <c r="AF97" i="10"/>
  <c r="AF98" i="10"/>
  <c r="AF91" i="10"/>
  <c r="U123" i="10"/>
  <c r="U122" i="10"/>
  <c r="U121" i="10"/>
  <c r="U120" i="10"/>
  <c r="U119" i="10"/>
  <c r="U117" i="10"/>
  <c r="U116" i="10"/>
  <c r="U92" i="10"/>
  <c r="U94" i="10"/>
  <c r="U95" i="10"/>
  <c r="U96" i="10"/>
  <c r="U97" i="10"/>
  <c r="U98" i="10"/>
  <c r="U91" i="10"/>
  <c r="J123" i="10"/>
  <c r="J122" i="10"/>
  <c r="J121" i="10"/>
  <c r="J120" i="10"/>
  <c r="J119" i="10"/>
  <c r="J117" i="10"/>
  <c r="J116" i="10"/>
  <c r="J115" i="10"/>
  <c r="J114" i="10"/>
  <c r="J113" i="10"/>
  <c r="J89" i="10"/>
  <c r="J90" i="10"/>
  <c r="J91" i="10"/>
  <c r="J92" i="10"/>
  <c r="J94" i="10"/>
  <c r="J95" i="10"/>
  <c r="J96" i="10"/>
  <c r="J97" i="10"/>
  <c r="J98" i="10"/>
  <c r="J88" i="10"/>
  <c r="J70" i="10"/>
  <c r="J71" i="10"/>
  <c r="J72" i="10"/>
  <c r="J73" i="10"/>
  <c r="J74" i="10"/>
  <c r="J75" i="10"/>
  <c r="J76" i="10"/>
  <c r="J77" i="10"/>
  <c r="J78" i="10"/>
  <c r="J69" i="10"/>
  <c r="J53" i="10"/>
  <c r="J54" i="10"/>
  <c r="J57" i="10"/>
  <c r="J58" i="10"/>
  <c r="J59" i="10"/>
  <c r="J50" i="10"/>
  <c r="J51" i="10"/>
  <c r="J49" i="10"/>
  <c r="H61" i="10"/>
  <c r="H62" i="10"/>
  <c r="AD20" i="10"/>
  <c r="AD19" i="10"/>
  <c r="Q15" i="14" l="1"/>
  <c r="Q19" i="14"/>
  <c r="Q23" i="14"/>
  <c r="G28" i="14"/>
  <c r="Q24" i="14"/>
  <c r="Q25" i="14"/>
  <c r="H36" i="14"/>
  <c r="I36" i="14" s="1"/>
  <c r="J36" i="14" s="1"/>
  <c r="Q18" i="14"/>
  <c r="Q20" i="14"/>
  <c r="Q21" i="14"/>
  <c r="Q22" i="14"/>
  <c r="Q11" i="14"/>
  <c r="Q12" i="14"/>
  <c r="Q14" i="14"/>
  <c r="Q16" i="14"/>
  <c r="F31" i="14"/>
  <c r="F32" i="14"/>
  <c r="H38" i="14"/>
  <c r="G30" i="14"/>
  <c r="M19" i="14"/>
  <c r="M13" i="14"/>
  <c r="M17" i="14"/>
  <c r="M15" i="14"/>
  <c r="M14" i="14"/>
  <c r="M12" i="14"/>
  <c r="M16" i="14"/>
  <c r="M11" i="14"/>
  <c r="M18" i="14"/>
  <c r="Q10" i="14"/>
  <c r="Q13" i="14"/>
  <c r="Q17" i="14"/>
  <c r="H37" i="14"/>
  <c r="G29" i="14"/>
  <c r="H19" i="10"/>
  <c r="H63" i="10"/>
  <c r="BC22" i="10"/>
  <c r="AR22" i="10"/>
  <c r="AF22" i="10"/>
  <c r="AG22" i="10"/>
  <c r="V22" i="10"/>
  <c r="J22" i="10"/>
  <c r="K22" i="10"/>
  <c r="E41" i="11"/>
  <c r="D41" i="11"/>
  <c r="E40" i="11"/>
  <c r="D40" i="11"/>
  <c r="E39" i="11"/>
  <c r="D39" i="11"/>
  <c r="A24" i="11" s="1"/>
  <c r="E38" i="11"/>
  <c r="D38" i="11"/>
  <c r="A23" i="11" s="1"/>
  <c r="E37" i="11"/>
  <c r="D37" i="11"/>
  <c r="A22" i="11" s="1"/>
  <c r="B21" i="11"/>
  <c r="B20" i="11"/>
  <c r="B19" i="11"/>
  <c r="B18" i="11"/>
  <c r="B17" i="11"/>
  <c r="B16" i="11"/>
  <c r="B15" i="11"/>
  <c r="B14" i="11"/>
  <c r="B12" i="11"/>
  <c r="B11" i="11"/>
  <c r="B10" i="11"/>
  <c r="B3" i="11"/>
  <c r="B4" i="11" s="1"/>
  <c r="W97" i="10"/>
  <c r="W95" i="10"/>
  <c r="H81" i="10"/>
  <c r="BA127" i="10"/>
  <c r="AZ127" i="10"/>
  <c r="AP127" i="10"/>
  <c r="AO127" i="10"/>
  <c r="AE127" i="10"/>
  <c r="AD127" i="10"/>
  <c r="T127" i="10"/>
  <c r="S127" i="10"/>
  <c r="I127" i="10"/>
  <c r="H127" i="10"/>
  <c r="BA125" i="10"/>
  <c r="AZ125" i="10"/>
  <c r="AP125" i="10"/>
  <c r="AO125" i="10"/>
  <c r="AE125" i="10"/>
  <c r="AD125" i="10"/>
  <c r="T125" i="10"/>
  <c r="S125" i="10"/>
  <c r="I125" i="10"/>
  <c r="H125" i="10"/>
  <c r="BA102" i="10"/>
  <c r="AZ102" i="10"/>
  <c r="AP102" i="10"/>
  <c r="AO102" i="10"/>
  <c r="AE102" i="10"/>
  <c r="AD102" i="10"/>
  <c r="T102" i="10"/>
  <c r="S102" i="10"/>
  <c r="I102" i="10"/>
  <c r="H102" i="10"/>
  <c r="BA100" i="10"/>
  <c r="AZ100" i="10"/>
  <c r="AP100" i="10"/>
  <c r="AO100" i="10"/>
  <c r="AE100" i="10"/>
  <c r="AD100" i="10"/>
  <c r="T100" i="10"/>
  <c r="S100" i="10"/>
  <c r="I100" i="10"/>
  <c r="BA82" i="10"/>
  <c r="AZ82" i="10"/>
  <c r="AP82" i="10"/>
  <c r="AO82" i="10"/>
  <c r="AE82" i="10"/>
  <c r="AD82" i="10"/>
  <c r="T82" i="10"/>
  <c r="S82" i="10"/>
  <c r="I82" i="10"/>
  <c r="H82" i="10"/>
  <c r="BA81" i="10"/>
  <c r="AZ81" i="10"/>
  <c r="AP81" i="10"/>
  <c r="AO81" i="10"/>
  <c r="AE81" i="10"/>
  <c r="AD81" i="10"/>
  <c r="T81" i="10"/>
  <c r="S81" i="10"/>
  <c r="I81" i="10"/>
  <c r="BA62" i="10"/>
  <c r="AP62" i="10"/>
  <c r="AO62" i="10"/>
  <c r="AE62" i="10"/>
  <c r="AD62" i="10"/>
  <c r="T62" i="10"/>
  <c r="S62" i="10"/>
  <c r="I62" i="10"/>
  <c r="BA61" i="10"/>
  <c r="AP61" i="10"/>
  <c r="AO61" i="10"/>
  <c r="AE61" i="10"/>
  <c r="AD61" i="10"/>
  <c r="T61" i="10"/>
  <c r="I61" i="10"/>
  <c r="BA40" i="10"/>
  <c r="BD90" i="10" s="1"/>
  <c r="AZ40" i="10"/>
  <c r="BC92" i="10" s="1"/>
  <c r="AP40" i="10"/>
  <c r="AS90" i="10" s="1"/>
  <c r="AO40" i="10"/>
  <c r="AR96" i="10" s="1"/>
  <c r="AE40" i="10"/>
  <c r="AH94" i="10" s="1"/>
  <c r="AD40" i="10"/>
  <c r="AG94" i="10" s="1"/>
  <c r="T40" i="10"/>
  <c r="W88" i="10" s="1"/>
  <c r="S40" i="10"/>
  <c r="V90" i="10" s="1"/>
  <c r="I40" i="10"/>
  <c r="L98" i="10" s="1"/>
  <c r="H40" i="10"/>
  <c r="K94" i="10" s="1"/>
  <c r="BA39" i="10"/>
  <c r="BD97" i="10" s="1"/>
  <c r="AZ39" i="10"/>
  <c r="BC97" i="10" s="1"/>
  <c r="AP39" i="10"/>
  <c r="AS97" i="10" s="1"/>
  <c r="AO39" i="10"/>
  <c r="AR97" i="10" s="1"/>
  <c r="AE39" i="10"/>
  <c r="AH97" i="10" s="1"/>
  <c r="AD39" i="10"/>
  <c r="AG95" i="10" s="1"/>
  <c r="T39" i="10"/>
  <c r="W89" i="10" s="1"/>
  <c r="S39" i="10"/>
  <c r="V91" i="10" s="1"/>
  <c r="I39" i="10"/>
  <c r="L97" i="10" s="1"/>
  <c r="H39" i="10"/>
  <c r="K97" i="10" s="1"/>
  <c r="BB36" i="10"/>
  <c r="AQ36" i="10"/>
  <c r="AF36" i="10"/>
  <c r="U36" i="10"/>
  <c r="J36" i="10"/>
  <c r="BB35" i="10"/>
  <c r="AQ35" i="10"/>
  <c r="AF35" i="10"/>
  <c r="U35" i="10"/>
  <c r="J35" i="10"/>
  <c r="BB34" i="10"/>
  <c r="AQ34" i="10"/>
  <c r="AF34" i="10"/>
  <c r="U34" i="10"/>
  <c r="J34" i="10"/>
  <c r="BB33" i="10"/>
  <c r="AQ33" i="10"/>
  <c r="AF33" i="10"/>
  <c r="U33" i="10"/>
  <c r="J33" i="10"/>
  <c r="BB32" i="10"/>
  <c r="AQ32" i="10"/>
  <c r="AF32" i="10"/>
  <c r="U32" i="10"/>
  <c r="J32" i="10"/>
  <c r="BB31" i="10"/>
  <c r="AQ31" i="10"/>
  <c r="AF31" i="10"/>
  <c r="U31" i="10"/>
  <c r="J31" i="10"/>
  <c r="BB30" i="10"/>
  <c r="AQ30" i="10"/>
  <c r="AF30" i="10"/>
  <c r="U30" i="10"/>
  <c r="J30" i="10"/>
  <c r="BB29" i="10"/>
  <c r="AQ29" i="10"/>
  <c r="AF29" i="10"/>
  <c r="U29" i="10"/>
  <c r="J29" i="10"/>
  <c r="BB28" i="10"/>
  <c r="AY28" i="10"/>
  <c r="AY29" i="10" s="1"/>
  <c r="AQ28" i="10"/>
  <c r="AN28" i="10"/>
  <c r="AN29" i="10" s="1"/>
  <c r="AF28" i="10"/>
  <c r="AC28" i="10"/>
  <c r="AC31" i="10" s="1"/>
  <c r="U28" i="10"/>
  <c r="R28" i="10"/>
  <c r="R31" i="10" s="1"/>
  <c r="J28" i="10"/>
  <c r="G28" i="10"/>
  <c r="G29" i="10" s="1"/>
  <c r="BB27" i="10"/>
  <c r="AQ27" i="10"/>
  <c r="AF27" i="10"/>
  <c r="U27" i="10"/>
  <c r="J27" i="10"/>
  <c r="BA20" i="10"/>
  <c r="AZ20" i="10"/>
  <c r="AP20" i="10"/>
  <c r="AO20" i="10"/>
  <c r="AE20" i="10"/>
  <c r="T20" i="10"/>
  <c r="S20" i="10"/>
  <c r="I20" i="10"/>
  <c r="BA19" i="10"/>
  <c r="AP19" i="10"/>
  <c r="AO19" i="10"/>
  <c r="AE19" i="10"/>
  <c r="T19" i="10"/>
  <c r="S19" i="10"/>
  <c r="I19" i="10"/>
  <c r="BB17" i="10"/>
  <c r="AF17" i="10"/>
  <c r="U17" i="10"/>
  <c r="J17" i="10"/>
  <c r="BB16" i="10"/>
  <c r="AF16" i="10"/>
  <c r="U16" i="10"/>
  <c r="J16" i="10"/>
  <c r="BB15" i="10"/>
  <c r="AF15" i="10"/>
  <c r="U15" i="10"/>
  <c r="J15" i="10"/>
  <c r="BB12" i="10"/>
  <c r="AY12" i="10"/>
  <c r="AY17" i="10" s="1"/>
  <c r="AY16" i="10" s="1"/>
  <c r="AQ12" i="10"/>
  <c r="AN12" i="10"/>
  <c r="AN17" i="10" s="1"/>
  <c r="AN16" i="10" s="1"/>
  <c r="AF12" i="10"/>
  <c r="AC12" i="10"/>
  <c r="AC15" i="10" s="1"/>
  <c r="U12" i="10"/>
  <c r="R12" i="10"/>
  <c r="R15" i="10" s="1"/>
  <c r="J12" i="10"/>
  <c r="G12" i="10"/>
  <c r="G17" i="10" s="1"/>
  <c r="G16" i="10" s="1"/>
  <c r="BB11" i="10"/>
  <c r="AQ11" i="10"/>
  <c r="AF11" i="10"/>
  <c r="U11" i="10"/>
  <c r="J11" i="10"/>
  <c r="BB9" i="10"/>
  <c r="AY9" i="10"/>
  <c r="AQ9" i="10"/>
  <c r="AN9" i="10"/>
  <c r="AF9" i="10"/>
  <c r="AC9" i="10"/>
  <c r="U9" i="10"/>
  <c r="R9" i="10"/>
  <c r="J9" i="10"/>
  <c r="G9" i="10"/>
  <c r="BB8" i="10"/>
  <c r="AY8" i="10"/>
  <c r="AQ8" i="10"/>
  <c r="AN8" i="10"/>
  <c r="AF8" i="10"/>
  <c r="AC8" i="10"/>
  <c r="U8" i="10"/>
  <c r="R8" i="10"/>
  <c r="J8" i="10"/>
  <c r="G8" i="10"/>
  <c r="BB7" i="10"/>
  <c r="AQ7" i="10"/>
  <c r="AF7" i="10"/>
  <c r="U7" i="10"/>
  <c r="J7" i="10"/>
  <c r="AY1" i="10"/>
  <c r="AX1" i="10"/>
  <c r="BB23" i="10" s="1"/>
  <c r="B41" i="11" s="1"/>
  <c r="AO1" i="10"/>
  <c r="AN1" i="10"/>
  <c r="AQ23" i="10" s="1"/>
  <c r="B40" i="11" s="1"/>
  <c r="AD1" i="10"/>
  <c r="AC1" i="10"/>
  <c r="AF23" i="10" s="1"/>
  <c r="B39" i="11" s="1"/>
  <c r="R1" i="10"/>
  <c r="Q1" i="10"/>
  <c r="G1" i="10"/>
  <c r="F1" i="10"/>
  <c r="J23" i="10" s="1"/>
  <c r="B37" i="11" s="1"/>
  <c r="Z60" i="3"/>
  <c r="F26" i="4"/>
  <c r="H36" i="4"/>
  <c r="Z100" i="3"/>
  <c r="Q80" i="3"/>
  <c r="I81" i="3"/>
  <c r="H81" i="3"/>
  <c r="I80" i="3"/>
  <c r="I82" i="3" s="1"/>
  <c r="I83" i="3" s="1"/>
  <c r="H80" i="3"/>
  <c r="H82" i="3" s="1"/>
  <c r="H83" i="3" s="1"/>
  <c r="R81" i="3"/>
  <c r="Q81" i="3"/>
  <c r="R80" i="3"/>
  <c r="R82" i="3" s="1"/>
  <c r="R83" i="3" s="1"/>
  <c r="Q82" i="3"/>
  <c r="Q83" i="3" s="1"/>
  <c r="Z81" i="3"/>
  <c r="AA81" i="3"/>
  <c r="AA80" i="3"/>
  <c r="AA82" i="3" s="1"/>
  <c r="AA83" i="3" s="1"/>
  <c r="Z80" i="3"/>
  <c r="AI81" i="3"/>
  <c r="AJ81" i="3"/>
  <c r="AJ80" i="3"/>
  <c r="AJ82" i="3" s="1"/>
  <c r="AJ83" i="3" s="1"/>
  <c r="AI80" i="3"/>
  <c r="AI82" i="3" s="1"/>
  <c r="AI83" i="3" s="1"/>
  <c r="AS81" i="3"/>
  <c r="AR81" i="3"/>
  <c r="AR82" i="3" s="1"/>
  <c r="AS80" i="3"/>
  <c r="AS82" i="3" s="1"/>
  <c r="AS83" i="3" s="1"/>
  <c r="AR80" i="3"/>
  <c r="AR60" i="3"/>
  <c r="AI61" i="3"/>
  <c r="AR39" i="3"/>
  <c r="AI39" i="3"/>
  <c r="AT27" i="3"/>
  <c r="AT28" i="3"/>
  <c r="AT29" i="3"/>
  <c r="AT30" i="3"/>
  <c r="AT31" i="3"/>
  <c r="AT32" i="3"/>
  <c r="AT33" i="3"/>
  <c r="AT34" i="3"/>
  <c r="AT35" i="3"/>
  <c r="AT26" i="3"/>
  <c r="AT15" i="3"/>
  <c r="AT16" i="3"/>
  <c r="AT14" i="3"/>
  <c r="AT7" i="3"/>
  <c r="AT8" i="3"/>
  <c r="AT10" i="3"/>
  <c r="AT11" i="3"/>
  <c r="AT6" i="3"/>
  <c r="AK27" i="3"/>
  <c r="AK28" i="3"/>
  <c r="AK29" i="3"/>
  <c r="AK30" i="3"/>
  <c r="AK31" i="3"/>
  <c r="AK32" i="3"/>
  <c r="AK33" i="3"/>
  <c r="AK34" i="3"/>
  <c r="AK35" i="3"/>
  <c r="AK26" i="3"/>
  <c r="AK7" i="3"/>
  <c r="AK8" i="3"/>
  <c r="AK10" i="3"/>
  <c r="AK11" i="3"/>
  <c r="AK6" i="3"/>
  <c r="AB27" i="3"/>
  <c r="AB28" i="3"/>
  <c r="AB29" i="3"/>
  <c r="AB30" i="3"/>
  <c r="AB31" i="3"/>
  <c r="AB32" i="3"/>
  <c r="AB33" i="3"/>
  <c r="AB34" i="3"/>
  <c r="AB35" i="3"/>
  <c r="AB26" i="3"/>
  <c r="AB15" i="3"/>
  <c r="AB16" i="3"/>
  <c r="AB14" i="3"/>
  <c r="AB7" i="3"/>
  <c r="AB8" i="3"/>
  <c r="AB10" i="3"/>
  <c r="AB11" i="3"/>
  <c r="AB6" i="3"/>
  <c r="S27" i="3"/>
  <c r="S28" i="3"/>
  <c r="S29" i="3"/>
  <c r="S30" i="3"/>
  <c r="S31" i="3"/>
  <c r="S32" i="3"/>
  <c r="S33" i="3"/>
  <c r="S34" i="3"/>
  <c r="S35" i="3"/>
  <c r="S26" i="3"/>
  <c r="S7" i="3"/>
  <c r="S8" i="3"/>
  <c r="S10" i="3"/>
  <c r="S11" i="3"/>
  <c r="S14" i="3"/>
  <c r="S15" i="3"/>
  <c r="S16" i="3"/>
  <c r="S6" i="3"/>
  <c r="J27" i="3"/>
  <c r="J28" i="3"/>
  <c r="J29" i="3"/>
  <c r="J30" i="3"/>
  <c r="J31" i="3"/>
  <c r="J32" i="3"/>
  <c r="J33" i="3"/>
  <c r="J34" i="3"/>
  <c r="J35" i="3"/>
  <c r="J26" i="3"/>
  <c r="J10" i="3"/>
  <c r="J11" i="3"/>
  <c r="J14" i="3"/>
  <c r="J15" i="3"/>
  <c r="J16" i="3"/>
  <c r="J7" i="3"/>
  <c r="J8" i="3"/>
  <c r="J6" i="3"/>
  <c r="H39" i="14" l="1"/>
  <c r="G31" i="14"/>
  <c r="H40" i="14"/>
  <c r="G32" i="14"/>
  <c r="C14" i="11"/>
  <c r="D14" i="11" s="1"/>
  <c r="E14" i="11" s="1"/>
  <c r="C17" i="11"/>
  <c r="D17" i="11" s="1"/>
  <c r="E17" i="11" s="1"/>
  <c r="C15" i="11"/>
  <c r="D15" i="11" s="1"/>
  <c r="E15" i="11" s="1"/>
  <c r="U23" i="10"/>
  <c r="B38" i="11" s="1"/>
  <c r="BC23" i="10"/>
  <c r="C41" i="11" s="1"/>
  <c r="K23" i="10"/>
  <c r="C37" i="11" s="1"/>
  <c r="V23" i="10"/>
  <c r="C38" i="11" s="1"/>
  <c r="AG23" i="10"/>
  <c r="C39" i="11" s="1"/>
  <c r="AR23" i="10"/>
  <c r="C40" i="11" s="1"/>
  <c r="BB22" i="10"/>
  <c r="AQ22" i="10"/>
  <c r="U22" i="10"/>
  <c r="V94" i="10"/>
  <c r="W90" i="10"/>
  <c r="AG97" i="10"/>
  <c r="AH96" i="10"/>
  <c r="W96" i="10"/>
  <c r="BC90" i="10"/>
  <c r="W92" i="10"/>
  <c r="BC94" i="10"/>
  <c r="AH89" i="10"/>
  <c r="BD92" i="10"/>
  <c r="W94" i="10"/>
  <c r="AE21" i="10"/>
  <c r="AE22" i="10" s="1"/>
  <c r="AE23" i="10" s="1"/>
  <c r="V92" i="10"/>
  <c r="BD94" i="10"/>
  <c r="AG89" i="10"/>
  <c r="AG96" i="10"/>
  <c r="AR98" i="10"/>
  <c r="AS92" i="10"/>
  <c r="AH98" i="10"/>
  <c r="AR89" i="10"/>
  <c r="AS94" i="10"/>
  <c r="BC91" i="10"/>
  <c r="AG90" i="10"/>
  <c r="V95" i="10"/>
  <c r="L89" i="10"/>
  <c r="AG98" i="10"/>
  <c r="AR91" i="10"/>
  <c r="AS96" i="10"/>
  <c r="BC96" i="10"/>
  <c r="BD88" i="10"/>
  <c r="BD96" i="10"/>
  <c r="AH90" i="10"/>
  <c r="V96" i="10"/>
  <c r="L91" i="10"/>
  <c r="AH92" i="10"/>
  <c r="AR88" i="10"/>
  <c r="AR95" i="10"/>
  <c r="AS98" i="10"/>
  <c r="BC98" i="10"/>
  <c r="BD89" i="10"/>
  <c r="BD98" i="10"/>
  <c r="V88" i="10"/>
  <c r="V97" i="10"/>
  <c r="L95" i="10"/>
  <c r="AG91" i="10"/>
  <c r="AH91" i="10"/>
  <c r="AR90" i="10"/>
  <c r="AS91" i="10"/>
  <c r="BC89" i="10"/>
  <c r="BD91" i="10"/>
  <c r="W98" i="10"/>
  <c r="V89" i="10"/>
  <c r="V98" i="10"/>
  <c r="AG92" i="10"/>
  <c r="AR92" i="10"/>
  <c r="AS89" i="10"/>
  <c r="AS95" i="10"/>
  <c r="BC95" i="10"/>
  <c r="BD95" i="10"/>
  <c r="AG88" i="10"/>
  <c r="AH95" i="10"/>
  <c r="AR94" i="10"/>
  <c r="AS88" i="10"/>
  <c r="AH88" i="10"/>
  <c r="BC88" i="10"/>
  <c r="F17" i="11"/>
  <c r="G17" i="11" s="1"/>
  <c r="H17" i="11" s="1"/>
  <c r="N17" i="11"/>
  <c r="O17" i="11" s="1"/>
  <c r="P17" i="11" s="1"/>
  <c r="J17" i="11"/>
  <c r="K17" i="11" s="1"/>
  <c r="L17" i="11" s="1"/>
  <c r="C18" i="11"/>
  <c r="D18" i="11" s="1"/>
  <c r="E18" i="11" s="1"/>
  <c r="C10" i="11"/>
  <c r="D10" i="11" s="1"/>
  <c r="E10" i="11" s="1"/>
  <c r="C19" i="11"/>
  <c r="D19" i="11" s="1"/>
  <c r="E19" i="11" s="1"/>
  <c r="N14" i="11"/>
  <c r="O14" i="11" s="1"/>
  <c r="P14" i="11" s="1"/>
  <c r="J14" i="11"/>
  <c r="K14" i="11" s="1"/>
  <c r="L14" i="11" s="1"/>
  <c r="F14" i="11"/>
  <c r="G14" i="11" s="1"/>
  <c r="H14" i="11" s="1"/>
  <c r="F15" i="11"/>
  <c r="G15" i="11" s="1"/>
  <c r="H15" i="11" s="1"/>
  <c r="N15" i="11"/>
  <c r="O15" i="11" s="1"/>
  <c r="P15" i="11" s="1"/>
  <c r="J15" i="11"/>
  <c r="K15" i="11" s="1"/>
  <c r="L15" i="11" s="1"/>
  <c r="C16" i="11"/>
  <c r="D16" i="11" s="1"/>
  <c r="E16" i="11" s="1"/>
  <c r="C21" i="11"/>
  <c r="D21" i="11" s="1"/>
  <c r="E21" i="11" s="1"/>
  <c r="C12" i="11"/>
  <c r="D12" i="11" s="1"/>
  <c r="E12" i="11" s="1"/>
  <c r="C11" i="11"/>
  <c r="D11" i="11" s="1"/>
  <c r="E11" i="11" s="1"/>
  <c r="C20" i="11"/>
  <c r="D20" i="11" s="1"/>
  <c r="E20" i="11" s="1"/>
  <c r="F4" i="11"/>
  <c r="G4" i="11"/>
  <c r="H4" i="11"/>
  <c r="B5" i="11"/>
  <c r="C5" i="11" s="1"/>
  <c r="F3" i="11"/>
  <c r="G3" i="11"/>
  <c r="H3" i="11"/>
  <c r="BA83" i="10"/>
  <c r="BA84" i="10" s="1"/>
  <c r="AD21" i="10"/>
  <c r="AD22" i="10" s="1"/>
  <c r="H101" i="10"/>
  <c r="AO103" i="10"/>
  <c r="AE41" i="10"/>
  <c r="AE42" i="10" s="1"/>
  <c r="AE43" i="10" s="1"/>
  <c r="AE83" i="10"/>
  <c r="AE84" i="10" s="1"/>
  <c r="K96" i="10"/>
  <c r="K89" i="10"/>
  <c r="K98" i="10"/>
  <c r="K91" i="10"/>
  <c r="L88" i="10"/>
  <c r="K95" i="10"/>
  <c r="L90" i="10"/>
  <c r="I101" i="10"/>
  <c r="K88" i="10"/>
  <c r="L92" i="10"/>
  <c r="AO41" i="10"/>
  <c r="AO42" i="10" s="1"/>
  <c r="K90" i="10"/>
  <c r="L94" i="10"/>
  <c r="AP41" i="10"/>
  <c r="AP42" i="10" s="1"/>
  <c r="AP43" i="10" s="1"/>
  <c r="T63" i="10"/>
  <c r="T64" i="10" s="1"/>
  <c r="AP83" i="10"/>
  <c r="AP84" i="10" s="1"/>
  <c r="K92" i="10"/>
  <c r="L96" i="10"/>
  <c r="AY31" i="10"/>
  <c r="BA101" i="10"/>
  <c r="AO83" i="10"/>
  <c r="AO84" i="10" s="1"/>
  <c r="AO21" i="10"/>
  <c r="AO22" i="10" s="1"/>
  <c r="R29" i="10"/>
  <c r="G31" i="10"/>
  <c r="AP21" i="10"/>
  <c r="AP22" i="10" s="1"/>
  <c r="AP23" i="10" s="1"/>
  <c r="AD63" i="10"/>
  <c r="AD64" i="10" s="1"/>
  <c r="AO63" i="10"/>
  <c r="AO64" i="10" s="1"/>
  <c r="S83" i="10"/>
  <c r="S84" i="10" s="1"/>
  <c r="I21" i="10"/>
  <c r="I22" i="10" s="1"/>
  <c r="I23" i="10" s="1"/>
  <c r="AN31" i="10"/>
  <c r="T101" i="10"/>
  <c r="BA103" i="10"/>
  <c r="AC17" i="10"/>
  <c r="AC16" i="10" s="1"/>
  <c r="AE101" i="10"/>
  <c r="I63" i="10"/>
  <c r="I64" i="10" s="1"/>
  <c r="BA63" i="10"/>
  <c r="BA64" i="10" s="1"/>
  <c r="I103" i="10"/>
  <c r="H21" i="10"/>
  <c r="H22" i="10" s="1"/>
  <c r="AZ21" i="10"/>
  <c r="AZ22" i="10" s="1"/>
  <c r="AE63" i="10"/>
  <c r="AE64" i="10" s="1"/>
  <c r="S101" i="10"/>
  <c r="I126" i="10"/>
  <c r="BA126" i="10"/>
  <c r="AP63" i="10"/>
  <c r="AP64" i="10" s="1"/>
  <c r="T83" i="10"/>
  <c r="T84" i="10" s="1"/>
  <c r="I83" i="10"/>
  <c r="I84" i="10" s="1"/>
  <c r="H128" i="10"/>
  <c r="AD41" i="10"/>
  <c r="AD42" i="10" s="1"/>
  <c r="H64" i="10"/>
  <c r="AZ63" i="10"/>
  <c r="AZ64" i="10" s="1"/>
  <c r="AD83" i="10"/>
  <c r="AD84" i="10" s="1"/>
  <c r="AE103" i="10"/>
  <c r="T126" i="10"/>
  <c r="AN15" i="10"/>
  <c r="T41" i="10"/>
  <c r="AD101" i="10"/>
  <c r="AD126" i="10"/>
  <c r="AO101" i="10"/>
  <c r="S103" i="10"/>
  <c r="AO126" i="10"/>
  <c r="S128" i="10"/>
  <c r="AC29" i="10"/>
  <c r="AZ103" i="10"/>
  <c r="S21" i="10"/>
  <c r="S22" i="10" s="1"/>
  <c r="H41" i="10"/>
  <c r="H42" i="10" s="1"/>
  <c r="AZ41" i="10"/>
  <c r="AZ42" i="10" s="1"/>
  <c r="H83" i="10"/>
  <c r="H84" i="10" s="1"/>
  <c r="AZ83" i="10"/>
  <c r="AZ84" i="10" s="1"/>
  <c r="AP101" i="10"/>
  <c r="T103" i="10"/>
  <c r="T128" i="10"/>
  <c r="H103" i="10"/>
  <c r="T21" i="10"/>
  <c r="T22" i="10" s="1"/>
  <c r="T23" i="10" s="1"/>
  <c r="I41" i="10"/>
  <c r="BA41" i="10"/>
  <c r="BA42" i="10" s="1"/>
  <c r="BA43" i="10" s="1"/>
  <c r="AP103" i="10"/>
  <c r="S63" i="10"/>
  <c r="S64" i="10" s="1"/>
  <c r="AZ101" i="10"/>
  <c r="AD103" i="10"/>
  <c r="H126" i="10"/>
  <c r="H129" i="10" s="1"/>
  <c r="AZ126" i="10"/>
  <c r="AD128" i="10"/>
  <c r="AE128" i="10"/>
  <c r="AO128" i="10"/>
  <c r="AP128" i="10"/>
  <c r="AZ128" i="10"/>
  <c r="AE126" i="10"/>
  <c r="I128" i="10"/>
  <c r="BA128" i="10"/>
  <c r="R17" i="10"/>
  <c r="R16" i="10" s="1"/>
  <c r="BA21" i="10"/>
  <c r="BA22" i="10" s="1"/>
  <c r="BA23" i="10" s="1"/>
  <c r="S126" i="10"/>
  <c r="AY15" i="10"/>
  <c r="G15" i="10"/>
  <c r="S41" i="10"/>
  <c r="S42" i="10" s="1"/>
  <c r="AP126" i="10"/>
  <c r="Z82" i="3"/>
  <c r="Z83" i="3" s="1"/>
  <c r="AR83" i="3"/>
  <c r="AO43" i="10" l="1"/>
  <c r="AD23" i="10"/>
  <c r="BA108" i="10"/>
  <c r="G41" i="11" s="1"/>
  <c r="AE108" i="10"/>
  <c r="G39" i="11" s="1"/>
  <c r="AO109" i="10"/>
  <c r="D32" i="11" s="1"/>
  <c r="AP108" i="10"/>
  <c r="G40" i="11" s="1"/>
  <c r="S109" i="10"/>
  <c r="D30" i="11" s="1"/>
  <c r="I108" i="10"/>
  <c r="G37" i="11" s="1"/>
  <c r="AP109" i="10"/>
  <c r="E32" i="11" s="1"/>
  <c r="AD109" i="10"/>
  <c r="D31" i="11" s="1"/>
  <c r="AZ109" i="10"/>
  <c r="D33" i="11" s="1"/>
  <c r="H108" i="10"/>
  <c r="F37" i="11" s="1"/>
  <c r="AD108" i="10"/>
  <c r="F39" i="11" s="1"/>
  <c r="BA109" i="10"/>
  <c r="E33" i="11" s="1"/>
  <c r="S43" i="10"/>
  <c r="T109" i="10"/>
  <c r="E30" i="11" s="1"/>
  <c r="AE109" i="10"/>
  <c r="E31" i="11" s="1"/>
  <c r="I109" i="10"/>
  <c r="AZ108" i="10"/>
  <c r="F41" i="11" s="1"/>
  <c r="AO108" i="10"/>
  <c r="F40" i="11" s="1"/>
  <c r="T42" i="10"/>
  <c r="T43" i="10" s="1"/>
  <c r="W91" i="10"/>
  <c r="H109" i="10"/>
  <c r="D29" i="11" s="1"/>
  <c r="J21" i="11"/>
  <c r="K21" i="11" s="1"/>
  <c r="L21" i="11" s="1"/>
  <c r="F21" i="11"/>
  <c r="G21" i="11" s="1"/>
  <c r="H21" i="11" s="1"/>
  <c r="N21" i="11"/>
  <c r="O21" i="11" s="1"/>
  <c r="P21" i="11" s="1"/>
  <c r="N19" i="11"/>
  <c r="O19" i="11" s="1"/>
  <c r="P19" i="11" s="1"/>
  <c r="J19" i="11"/>
  <c r="K19" i="11" s="1"/>
  <c r="L19" i="11" s="1"/>
  <c r="F19" i="11"/>
  <c r="G19" i="11" s="1"/>
  <c r="H19" i="11" s="1"/>
  <c r="J16" i="11"/>
  <c r="K16" i="11" s="1"/>
  <c r="L16" i="11" s="1"/>
  <c r="F16" i="11"/>
  <c r="G16" i="11" s="1"/>
  <c r="H16" i="11" s="1"/>
  <c r="N16" i="11"/>
  <c r="O16" i="11" s="1"/>
  <c r="P16" i="11" s="1"/>
  <c r="N10" i="11"/>
  <c r="O10" i="11" s="1"/>
  <c r="P10" i="11" s="1"/>
  <c r="J10" i="11"/>
  <c r="K10" i="11" s="1"/>
  <c r="L10" i="11" s="1"/>
  <c r="F10" i="11"/>
  <c r="G10" i="11" s="1"/>
  <c r="H10" i="11" s="1"/>
  <c r="J18" i="11"/>
  <c r="K18" i="11" s="1"/>
  <c r="L18" i="11" s="1"/>
  <c r="F18" i="11"/>
  <c r="G18" i="11" s="1"/>
  <c r="H18" i="11" s="1"/>
  <c r="N18" i="11"/>
  <c r="O18" i="11" s="1"/>
  <c r="P18" i="11" s="1"/>
  <c r="F20" i="11"/>
  <c r="G20" i="11" s="1"/>
  <c r="H20" i="11" s="1"/>
  <c r="N20" i="11"/>
  <c r="O20" i="11" s="1"/>
  <c r="P20" i="11" s="1"/>
  <c r="J20" i="11"/>
  <c r="K20" i="11" s="1"/>
  <c r="L20" i="11" s="1"/>
  <c r="F11" i="11"/>
  <c r="G11" i="11" s="1"/>
  <c r="H11" i="11" s="1"/>
  <c r="N11" i="11"/>
  <c r="O11" i="11" s="1"/>
  <c r="P11" i="11" s="1"/>
  <c r="J11" i="11"/>
  <c r="K11" i="11" s="1"/>
  <c r="L11" i="11" s="1"/>
  <c r="J12" i="11"/>
  <c r="K12" i="11" s="1"/>
  <c r="L12" i="11" s="1"/>
  <c r="F12" i="11"/>
  <c r="G12" i="11" s="1"/>
  <c r="H12" i="11" s="1"/>
  <c r="N12" i="11"/>
  <c r="O12" i="11" s="1"/>
  <c r="P12" i="11" s="1"/>
  <c r="I104" i="10"/>
  <c r="I105" i="10" s="1"/>
  <c r="AO23" i="10"/>
  <c r="AO104" i="10"/>
  <c r="AO105" i="10" s="1"/>
  <c r="T129" i="10"/>
  <c r="S129" i="10"/>
  <c r="BA104" i="10"/>
  <c r="BA105" i="10" s="1"/>
  <c r="AE104" i="10"/>
  <c r="AE105" i="10" s="1"/>
  <c r="I42" i="10"/>
  <c r="I43" i="10" s="1"/>
  <c r="AD129" i="10"/>
  <c r="T104" i="10"/>
  <c r="T105" i="10" s="1"/>
  <c r="H23" i="10"/>
  <c r="H43" i="10"/>
  <c r="AO129" i="10"/>
  <c r="I129" i="10"/>
  <c r="AZ129" i="10"/>
  <c r="S104" i="10"/>
  <c r="S105" i="10" s="1"/>
  <c r="AE129" i="10"/>
  <c r="BA129" i="10"/>
  <c r="AP104" i="10"/>
  <c r="AP105" i="10" s="1"/>
  <c r="AD104" i="10"/>
  <c r="AD105" i="10" s="1"/>
  <c r="AP129" i="10"/>
  <c r="AD43" i="10"/>
  <c r="AZ23" i="10"/>
  <c r="S23" i="10"/>
  <c r="AZ43" i="10"/>
  <c r="AZ104" i="10"/>
  <c r="AZ105" i="10" s="1"/>
  <c r="H104" i="10"/>
  <c r="H105" i="10" s="1"/>
  <c r="D14" i="4"/>
  <c r="G14" i="4"/>
  <c r="H14" i="4"/>
  <c r="C12" i="4"/>
  <c r="D12" i="4"/>
  <c r="F12" i="4"/>
  <c r="E12" i="4"/>
  <c r="F11" i="4"/>
  <c r="H10" i="4"/>
  <c r="G10" i="4"/>
  <c r="F10" i="4"/>
  <c r="I110" i="10" l="1"/>
  <c r="I111" i="10" s="1"/>
  <c r="AP110" i="10"/>
  <c r="AP111" i="10" s="1"/>
  <c r="E29" i="11"/>
  <c r="AE110" i="10"/>
  <c r="AE111" i="10" s="1"/>
  <c r="AD110" i="10"/>
  <c r="AD111" i="10" s="1"/>
  <c r="AF111" i="10" s="1"/>
  <c r="G38" i="11"/>
  <c r="AO110" i="10"/>
  <c r="AO111" i="10" s="1"/>
  <c r="AQ111" i="10" s="1"/>
  <c r="BA110" i="10"/>
  <c r="BA111" i="10" s="1"/>
  <c r="T108" i="10"/>
  <c r="T110" i="10" s="1"/>
  <c r="T111" i="10" s="1"/>
  <c r="S108" i="10"/>
  <c r="AZ110" i="10"/>
  <c r="AZ111" i="10" s="1"/>
  <c r="F29" i="11"/>
  <c r="H110" i="10"/>
  <c r="H111" i="10" s="1"/>
  <c r="J111" i="10" s="1"/>
  <c r="F31" i="11"/>
  <c r="F30" i="11"/>
  <c r="F33" i="11"/>
  <c r="F32" i="11"/>
  <c r="I10" i="11" s="1"/>
  <c r="AQ1" i="3"/>
  <c r="AI1" i="3"/>
  <c r="Z1" i="3"/>
  <c r="P1" i="3"/>
  <c r="G1" i="3"/>
  <c r="AP1" i="3"/>
  <c r="AH1" i="3"/>
  <c r="Y1" i="3"/>
  <c r="O1" i="3"/>
  <c r="F1" i="3"/>
  <c r="B15" i="4"/>
  <c r="G29" i="11" l="1"/>
  <c r="Q11" i="11"/>
  <c r="Q12" i="11"/>
  <c r="Q14" i="11"/>
  <c r="Q15" i="11"/>
  <c r="Q21" i="11"/>
  <c r="Q10" i="11"/>
  <c r="Q16" i="11"/>
  <c r="Q20" i="11"/>
  <c r="Q17" i="11"/>
  <c r="Q18" i="11"/>
  <c r="Q19" i="11"/>
  <c r="I19" i="11"/>
  <c r="I12" i="11"/>
  <c r="M11" i="11"/>
  <c r="M20" i="11"/>
  <c r="M12" i="11"/>
  <c r="M21" i="11"/>
  <c r="M14" i="11"/>
  <c r="M10" i="11"/>
  <c r="M15" i="11"/>
  <c r="M16" i="11"/>
  <c r="M17" i="11"/>
  <c r="M18" i="11"/>
  <c r="M19" i="11"/>
  <c r="I20" i="11"/>
  <c r="I16" i="11"/>
  <c r="I11" i="11"/>
  <c r="I21" i="11"/>
  <c r="I15" i="11"/>
  <c r="I17" i="11"/>
  <c r="I14" i="11"/>
  <c r="I18" i="11"/>
  <c r="H37" i="11"/>
  <c r="F38" i="11"/>
  <c r="H38" i="11" s="1"/>
  <c r="S110" i="10"/>
  <c r="S111" i="10" s="1"/>
  <c r="U111" i="10" s="1"/>
  <c r="G32" i="11"/>
  <c r="H40" i="11"/>
  <c r="G33" i="11"/>
  <c r="H41" i="11"/>
  <c r="G30" i="11"/>
  <c r="G31" i="11"/>
  <c r="H39" i="11"/>
  <c r="B19" i="4"/>
  <c r="B20" i="4"/>
  <c r="B17" i="4"/>
  <c r="B18" i="4"/>
  <c r="B16" i="4"/>
  <c r="B14" i="4"/>
  <c r="B13" i="4"/>
  <c r="B12" i="4"/>
  <c r="B11" i="4"/>
  <c r="B10" i="4"/>
  <c r="B3" i="4"/>
  <c r="F3" i="4" s="1"/>
  <c r="G4" i="4" l="1"/>
  <c r="H4" i="4"/>
  <c r="F4" i="4"/>
  <c r="G3" i="4"/>
  <c r="H3" i="4"/>
  <c r="B4" i="4"/>
  <c r="B5" i="4"/>
  <c r="C18" i="4" l="1"/>
  <c r="D18" i="4" s="1"/>
  <c r="E18" i="4" s="1"/>
  <c r="F18" i="4" s="1"/>
  <c r="G18" i="4" s="1"/>
  <c r="H18" i="4" s="1"/>
  <c r="C15" i="4"/>
  <c r="D15" i="4" s="1"/>
  <c r="E15" i="4" s="1"/>
  <c r="C19" i="4"/>
  <c r="D19" i="4" s="1"/>
  <c r="E19" i="4" s="1"/>
  <c r="C20" i="4"/>
  <c r="D20" i="4" s="1"/>
  <c r="E20" i="4" s="1"/>
  <c r="C17" i="4"/>
  <c r="D17" i="4" s="1"/>
  <c r="E17" i="4" s="1"/>
  <c r="C5" i="4"/>
  <c r="C16" i="4"/>
  <c r="D16" i="4" s="1"/>
  <c r="E16" i="4" s="1"/>
  <c r="C10" i="4"/>
  <c r="D10" i="4" s="1"/>
  <c r="E10" i="4" s="1"/>
  <c r="C14" i="4"/>
  <c r="E14" i="4" s="1"/>
  <c r="C13" i="4"/>
  <c r="C11" i="4"/>
  <c r="D11" i="4" s="1"/>
  <c r="E11" i="4" s="1"/>
  <c r="L18" i="4" l="1"/>
  <c r="M18" i="4" s="1"/>
  <c r="N18" i="4" s="1"/>
  <c r="I18" i="4"/>
  <c r="J18" i="4" s="1"/>
  <c r="K18" i="4" s="1"/>
  <c r="I15" i="4"/>
  <c r="J15" i="4" s="1"/>
  <c r="K15" i="4" s="1"/>
  <c r="L15" i="4"/>
  <c r="M15" i="4" s="1"/>
  <c r="N15" i="4" s="1"/>
  <c r="F15" i="4"/>
  <c r="G15" i="4" s="1"/>
  <c r="H15" i="4" s="1"/>
  <c r="I11" i="4"/>
  <c r="J11" i="4" s="1"/>
  <c r="K11" i="4" s="1"/>
  <c r="L11" i="4"/>
  <c r="M11" i="4" s="1"/>
  <c r="N11" i="4" s="1"/>
  <c r="F19" i="4"/>
  <c r="G19" i="4" s="1"/>
  <c r="H19" i="4" s="1"/>
  <c r="I19" i="4"/>
  <c r="J19" i="4" s="1"/>
  <c r="K19" i="4" s="1"/>
  <c r="L19" i="4"/>
  <c r="M19" i="4" s="1"/>
  <c r="N19" i="4" s="1"/>
  <c r="F14" i="4"/>
  <c r="I14" i="4"/>
  <c r="J14" i="4" s="1"/>
  <c r="K14" i="4" s="1"/>
  <c r="L14" i="4"/>
  <c r="M14" i="4" s="1"/>
  <c r="N14" i="4" s="1"/>
  <c r="F17" i="4"/>
  <c r="G17" i="4" s="1"/>
  <c r="H17" i="4" s="1"/>
  <c r="L17" i="4"/>
  <c r="M17" i="4" s="1"/>
  <c r="N17" i="4" s="1"/>
  <c r="I17" i="4"/>
  <c r="J17" i="4" s="1"/>
  <c r="K17" i="4" s="1"/>
  <c r="F20" i="4"/>
  <c r="G20" i="4" s="1"/>
  <c r="H20" i="4" s="1"/>
  <c r="L20" i="4"/>
  <c r="M20" i="4" s="1"/>
  <c r="N20" i="4" s="1"/>
  <c r="I20" i="4"/>
  <c r="J20" i="4" s="1"/>
  <c r="K20" i="4" s="1"/>
  <c r="F16" i="4"/>
  <c r="G16" i="4" s="1"/>
  <c r="H16" i="4" s="1"/>
  <c r="I16" i="4"/>
  <c r="J16" i="4" s="1"/>
  <c r="K16" i="4" s="1"/>
  <c r="L16" i="4"/>
  <c r="M16" i="4" s="1"/>
  <c r="N16" i="4" s="1"/>
  <c r="L10" i="4"/>
  <c r="M10" i="4" s="1"/>
  <c r="N10" i="4" s="1"/>
  <c r="I10" i="4"/>
  <c r="J10" i="4" s="1"/>
  <c r="K10" i="4" s="1"/>
  <c r="G11" i="4"/>
  <c r="H11" i="4" s="1"/>
  <c r="D13" i="4"/>
  <c r="E13" i="4" s="1"/>
  <c r="G12" i="4" l="1"/>
  <c r="H12" i="4" s="1"/>
  <c r="L12" i="4"/>
  <c r="M12" i="4" s="1"/>
  <c r="N12" i="4" s="1"/>
  <c r="I12" i="4"/>
  <c r="J12" i="4" s="1"/>
  <c r="K12" i="4" s="1"/>
  <c r="F13" i="4"/>
  <c r="G13" i="4" s="1"/>
  <c r="H13" i="4" s="1"/>
  <c r="L13" i="4"/>
  <c r="M13" i="4" s="1"/>
  <c r="N13" i="4" s="1"/>
  <c r="I13" i="4"/>
  <c r="J13" i="4" s="1"/>
  <c r="K13" i="4" s="1"/>
  <c r="AA121" i="3"/>
  <c r="Z121" i="3"/>
  <c r="AA119" i="3"/>
  <c r="Z119" i="3"/>
  <c r="R121" i="3"/>
  <c r="Q121" i="3"/>
  <c r="R119" i="3"/>
  <c r="Q119" i="3"/>
  <c r="H121" i="3"/>
  <c r="I121" i="3"/>
  <c r="I119" i="3"/>
  <c r="H119" i="3"/>
  <c r="AJ121" i="3"/>
  <c r="AI121" i="3"/>
  <c r="AJ119" i="3"/>
  <c r="AI119" i="3"/>
  <c r="AS121" i="3"/>
  <c r="AR121" i="3"/>
  <c r="AS119" i="3"/>
  <c r="AR119" i="3"/>
  <c r="AA101" i="3"/>
  <c r="Z101" i="3"/>
  <c r="AA99" i="3"/>
  <c r="Z99" i="3"/>
  <c r="R101" i="3"/>
  <c r="Q101" i="3"/>
  <c r="R99" i="3"/>
  <c r="Q99" i="3"/>
  <c r="AS101" i="3"/>
  <c r="AR101" i="3"/>
  <c r="AS99" i="3"/>
  <c r="AR99" i="3"/>
  <c r="AJ101" i="3"/>
  <c r="AI101" i="3"/>
  <c r="AJ99" i="3"/>
  <c r="AI99" i="3"/>
  <c r="I101" i="3"/>
  <c r="H101" i="3"/>
  <c r="I99" i="3"/>
  <c r="H99" i="3"/>
  <c r="H18" i="3"/>
  <c r="I18" i="3"/>
  <c r="Q18" i="3"/>
  <c r="R18" i="3"/>
  <c r="Z18" i="3"/>
  <c r="AA18" i="3"/>
  <c r="AI18" i="3"/>
  <c r="AJ18" i="3"/>
  <c r="AR18" i="3"/>
  <c r="AS18" i="3"/>
  <c r="AT18" i="3" s="1"/>
  <c r="H19" i="3"/>
  <c r="I19" i="3"/>
  <c r="Q19" i="3"/>
  <c r="R19" i="3"/>
  <c r="Z19" i="3"/>
  <c r="AA19" i="3"/>
  <c r="AI19" i="3"/>
  <c r="AK19" i="3" s="1"/>
  <c r="AJ19" i="3"/>
  <c r="AR19" i="3"/>
  <c r="AS19" i="3"/>
  <c r="AS61" i="3"/>
  <c r="AR61" i="3"/>
  <c r="AS60" i="3"/>
  <c r="AJ61" i="3"/>
  <c r="AJ60" i="3"/>
  <c r="AI60" i="3"/>
  <c r="AA61" i="3"/>
  <c r="Z61" i="3"/>
  <c r="AA60" i="3"/>
  <c r="R61" i="3"/>
  <c r="Q61" i="3"/>
  <c r="R60" i="3"/>
  <c r="Q60" i="3"/>
  <c r="I61" i="3"/>
  <c r="H61" i="3"/>
  <c r="I60" i="3"/>
  <c r="H60" i="3"/>
  <c r="AS39" i="3"/>
  <c r="AS38" i="3"/>
  <c r="AR38" i="3"/>
  <c r="AJ39" i="3"/>
  <c r="AJ38" i="3"/>
  <c r="AI38" i="3"/>
  <c r="AA39" i="3"/>
  <c r="Z39" i="3"/>
  <c r="AA38" i="3"/>
  <c r="Z38" i="3"/>
  <c r="R39" i="3"/>
  <c r="Q39" i="3"/>
  <c r="R38" i="3"/>
  <c r="Q38" i="3"/>
  <c r="I39" i="3"/>
  <c r="I38" i="3"/>
  <c r="H39" i="3"/>
  <c r="H38" i="3"/>
  <c r="AQ27" i="3"/>
  <c r="AQ30" i="3" s="1"/>
  <c r="AH27" i="3"/>
  <c r="AH30" i="3" s="1"/>
  <c r="Y27" i="3"/>
  <c r="Y30" i="3" s="1"/>
  <c r="P27" i="3"/>
  <c r="P30" i="3" s="1"/>
  <c r="G27" i="3"/>
  <c r="G28" i="3" s="1"/>
  <c r="AQ11" i="3"/>
  <c r="AQ14" i="3" s="1"/>
  <c r="AH11" i="3"/>
  <c r="AH14" i="3" s="1"/>
  <c r="Y11" i="3"/>
  <c r="Y16" i="3" s="1"/>
  <c r="Y15" i="3" s="1"/>
  <c r="P11" i="3"/>
  <c r="P14" i="3" s="1"/>
  <c r="G11" i="3"/>
  <c r="G16" i="3" s="1"/>
  <c r="G15" i="3" s="1"/>
  <c r="AQ8" i="3"/>
  <c r="AH8" i="3"/>
  <c r="Y8" i="3"/>
  <c r="P8" i="3"/>
  <c r="G8" i="3"/>
  <c r="AQ7" i="3"/>
  <c r="AH7" i="3"/>
  <c r="Y7" i="3"/>
  <c r="P7" i="3"/>
  <c r="G7" i="3"/>
  <c r="G21" i="1"/>
  <c r="G22" i="1" s="1"/>
  <c r="O21" i="1"/>
  <c r="O24" i="1" s="1"/>
  <c r="AM21" i="1"/>
  <c r="AM22" i="1" s="1"/>
  <c r="AE21" i="1"/>
  <c r="AE22" i="1" s="1"/>
  <c r="W21" i="1"/>
  <c r="W24" i="1" s="1"/>
  <c r="AI120" i="3" l="1"/>
  <c r="Q120" i="3"/>
  <c r="R102" i="3"/>
  <c r="E27" i="4" s="1"/>
  <c r="AS122" i="3"/>
  <c r="Q100" i="3"/>
  <c r="F35" i="4" s="1"/>
  <c r="AR120" i="3"/>
  <c r="AR123" i="3" s="1"/>
  <c r="AR124" i="3" s="1"/>
  <c r="H102" i="3"/>
  <c r="D26" i="4" s="1"/>
  <c r="G26" i="4" s="1"/>
  <c r="F36" i="4"/>
  <c r="I36" i="4" s="1"/>
  <c r="I122" i="3"/>
  <c r="I102" i="3"/>
  <c r="E26" i="4" s="1"/>
  <c r="AS102" i="3"/>
  <c r="E30" i="4" s="1"/>
  <c r="AS20" i="3"/>
  <c r="AS21" i="3" s="1"/>
  <c r="AS22" i="3" s="1"/>
  <c r="C38" i="4" s="1"/>
  <c r="I20" i="3"/>
  <c r="I21" i="3" s="1"/>
  <c r="I22" i="3" s="1"/>
  <c r="C34" i="4" s="1"/>
  <c r="AI100" i="3"/>
  <c r="F37" i="4" s="1"/>
  <c r="AJ100" i="3"/>
  <c r="G37" i="4" s="1"/>
  <c r="R100" i="3"/>
  <c r="R103" i="3" s="1"/>
  <c r="R104" i="3" s="1"/>
  <c r="AA102" i="3"/>
  <c r="E28" i="4" s="1"/>
  <c r="R120" i="3"/>
  <c r="Q102" i="3"/>
  <c r="D27" i="4" s="1"/>
  <c r="F27" i="4" s="1"/>
  <c r="Q122" i="3"/>
  <c r="AJ102" i="3"/>
  <c r="E29" i="4" s="1"/>
  <c r="AS120" i="3"/>
  <c r="AS123" i="3" s="1"/>
  <c r="AS124" i="3" s="1"/>
  <c r="AJ122" i="3"/>
  <c r="R122" i="3"/>
  <c r="AJ20" i="3"/>
  <c r="AJ21" i="3" s="1"/>
  <c r="AJ22" i="3" s="1"/>
  <c r="C37" i="4" s="1"/>
  <c r="H100" i="3"/>
  <c r="AR100" i="3"/>
  <c r="AR122" i="3"/>
  <c r="Z20" i="3"/>
  <c r="I100" i="3"/>
  <c r="G34" i="4" s="1"/>
  <c r="AA120" i="3"/>
  <c r="G35" i="4"/>
  <c r="AI122" i="3"/>
  <c r="AI123" i="3" s="1"/>
  <c r="AI124" i="3" s="1"/>
  <c r="Z122" i="3"/>
  <c r="F38" i="4"/>
  <c r="R20" i="3"/>
  <c r="R21" i="3" s="1"/>
  <c r="R22" i="3" s="1"/>
  <c r="C35" i="4" s="1"/>
  <c r="S19" i="3"/>
  <c r="AS100" i="3"/>
  <c r="G38" i="4" s="1"/>
  <c r="AA100" i="3"/>
  <c r="G36" i="4" s="1"/>
  <c r="H120" i="3"/>
  <c r="AA122" i="3"/>
  <c r="AA20" i="3"/>
  <c r="AA21" i="3" s="1"/>
  <c r="AA22" i="3" s="1"/>
  <c r="C36" i="4" s="1"/>
  <c r="AB19" i="3"/>
  <c r="Z21" i="3"/>
  <c r="Z22" i="3"/>
  <c r="B36" i="4" s="1"/>
  <c r="AR102" i="3"/>
  <c r="D30" i="4" s="1"/>
  <c r="F30" i="4" s="1"/>
  <c r="G30" i="4" s="1"/>
  <c r="Z102" i="3"/>
  <c r="D28" i="4" s="1"/>
  <c r="F28" i="4" s="1"/>
  <c r="G28" i="4" s="1"/>
  <c r="I120" i="3"/>
  <c r="Q103" i="3"/>
  <c r="Q104" i="3" s="1"/>
  <c r="H122" i="3"/>
  <c r="AJ120" i="3"/>
  <c r="AJ123" i="3" s="1"/>
  <c r="AJ124" i="3" s="1"/>
  <c r="Z120" i="3"/>
  <c r="AI102" i="3"/>
  <c r="D29" i="4" s="1"/>
  <c r="F29" i="4" s="1"/>
  <c r="G27" i="4"/>
  <c r="H35" i="4"/>
  <c r="Q123" i="3"/>
  <c r="Q124" i="3" s="1"/>
  <c r="AI20" i="3"/>
  <c r="H20" i="3"/>
  <c r="Q20" i="3"/>
  <c r="AR20" i="3"/>
  <c r="R62" i="3"/>
  <c r="R63" i="3" s="1"/>
  <c r="AJ62" i="3"/>
  <c r="AJ63" i="3" s="1"/>
  <c r="AA40" i="3"/>
  <c r="AA41" i="3" s="1"/>
  <c r="AA42" i="3" s="1"/>
  <c r="E36" i="4" s="1"/>
  <c r="AS40" i="3"/>
  <c r="AS41" i="3" s="1"/>
  <c r="AS42" i="3" s="1"/>
  <c r="E38" i="4" s="1"/>
  <c r="I62" i="3"/>
  <c r="I63" i="3" s="1"/>
  <c r="AA62" i="3"/>
  <c r="AA63" i="3" s="1"/>
  <c r="AS62" i="3"/>
  <c r="AS63" i="3" s="1"/>
  <c r="H62" i="3"/>
  <c r="H63" i="3" s="1"/>
  <c r="Z62" i="3"/>
  <c r="Z63" i="3" s="1"/>
  <c r="AR62" i="3"/>
  <c r="AR63" i="3" s="1"/>
  <c r="Q62" i="3"/>
  <c r="Q63" i="3" s="1"/>
  <c r="AI62" i="3"/>
  <c r="AI63" i="3" s="1"/>
  <c r="Z40" i="3"/>
  <c r="AR40" i="3"/>
  <c r="AI40" i="3"/>
  <c r="Q40" i="3"/>
  <c r="R40" i="3"/>
  <c r="R41" i="3" s="1"/>
  <c r="R42" i="3" s="1"/>
  <c r="E35" i="4" s="1"/>
  <c r="AJ40" i="3"/>
  <c r="AJ41" i="3" s="1"/>
  <c r="AJ42" i="3" s="1"/>
  <c r="E37" i="4" s="1"/>
  <c r="H40" i="3"/>
  <c r="I40" i="3"/>
  <c r="I41" i="3" s="1"/>
  <c r="I42" i="3" s="1"/>
  <c r="E34" i="4" s="1"/>
  <c r="P16" i="3"/>
  <c r="P15" i="3" s="1"/>
  <c r="G14" i="3"/>
  <c r="P28" i="3"/>
  <c r="AH16" i="3"/>
  <c r="AH15" i="3" s="1"/>
  <c r="Y28" i="3"/>
  <c r="AQ16" i="3"/>
  <c r="AQ15" i="3" s="1"/>
  <c r="AH28" i="3"/>
  <c r="AQ28" i="3"/>
  <c r="Y14" i="3"/>
  <c r="G30" i="3"/>
  <c r="O22" i="1"/>
  <c r="G24" i="1"/>
  <c r="W22" i="1"/>
  <c r="AE24" i="1"/>
  <c r="AM24" i="1"/>
  <c r="AM11" i="1"/>
  <c r="AM16" i="1" s="1"/>
  <c r="AM15" i="1" s="1"/>
  <c r="AE11" i="1"/>
  <c r="AE16" i="1" s="1"/>
  <c r="AE15" i="1" s="1"/>
  <c r="W11" i="1"/>
  <c r="W16" i="1" s="1"/>
  <c r="W15" i="1" s="1"/>
  <c r="O11" i="1"/>
  <c r="O14" i="1" s="1"/>
  <c r="G11" i="1"/>
  <c r="G16" i="1" s="1"/>
  <c r="G15" i="1" s="1"/>
  <c r="H37" i="4" l="1"/>
  <c r="I123" i="3"/>
  <c r="I124" i="3" s="1"/>
  <c r="AA123" i="3"/>
  <c r="AA124" i="3" s="1"/>
  <c r="H103" i="3"/>
  <c r="H104" i="3" s="1"/>
  <c r="R123" i="3"/>
  <c r="R124" i="3" s="1"/>
  <c r="F34" i="4"/>
  <c r="H34" i="4" s="1"/>
  <c r="I34" i="4" s="1"/>
  <c r="H123" i="3"/>
  <c r="H124" i="3" s="1"/>
  <c r="I103" i="3"/>
  <c r="I104" i="3" s="1"/>
  <c r="AA103" i="3"/>
  <c r="AA104" i="3" s="1"/>
  <c r="AJ103" i="3"/>
  <c r="AJ104" i="3" s="1"/>
  <c r="AS103" i="3"/>
  <c r="AS104" i="3" s="1"/>
  <c r="AR41" i="3"/>
  <c r="AR42" i="3"/>
  <c r="D38" i="4" s="1"/>
  <c r="Z103" i="3"/>
  <c r="Z104" i="3" s="1"/>
  <c r="Z41" i="3"/>
  <c r="Z42" i="3"/>
  <c r="D36" i="4" s="1"/>
  <c r="H21" i="3"/>
  <c r="H22" i="3"/>
  <c r="B34" i="4" s="1"/>
  <c r="G29" i="4"/>
  <c r="I37" i="4" s="1"/>
  <c r="Z123" i="3"/>
  <c r="Z124" i="3" s="1"/>
  <c r="H38" i="4"/>
  <c r="I38" i="4" s="1"/>
  <c r="AR103" i="3"/>
  <c r="AR104" i="3" s="1"/>
  <c r="H41" i="3"/>
  <c r="H42" i="3"/>
  <c r="D34" i="4" s="1"/>
  <c r="AI21" i="3"/>
  <c r="AI22" i="3"/>
  <c r="B37" i="4" s="1"/>
  <c r="AR21" i="3"/>
  <c r="AR22" i="3"/>
  <c r="B38" i="4" s="1"/>
  <c r="Q41" i="3"/>
  <c r="Q42" i="3"/>
  <c r="D35" i="4" s="1"/>
  <c r="Q21" i="3"/>
  <c r="Q22" i="3"/>
  <c r="B35" i="4" s="1"/>
  <c r="AI41" i="3"/>
  <c r="AI42" i="3"/>
  <c r="D37" i="4" s="1"/>
  <c r="AI103" i="3"/>
  <c r="AI104" i="3" s="1"/>
  <c r="I35" i="4"/>
  <c r="AE14" i="1"/>
  <c r="W14" i="1"/>
  <c r="G14" i="1"/>
  <c r="AM14" i="1"/>
  <c r="O16" i="1"/>
  <c r="O15" i="1" s="1"/>
  <c r="AM8" i="1" l="1"/>
  <c r="AE8" i="1"/>
  <c r="W8" i="1"/>
  <c r="O8" i="1"/>
  <c r="G8" i="1"/>
  <c r="AM7" i="1"/>
  <c r="AE7" i="1"/>
  <c r="W7" i="1"/>
  <c r="O7" i="1"/>
  <c r="G7" i="1"/>
</calcChain>
</file>

<file path=xl/sharedStrings.xml><?xml version="1.0" encoding="utf-8"?>
<sst xmlns="http://schemas.openxmlformats.org/spreadsheetml/2006/main" count="4429" uniqueCount="272">
  <si>
    <t>3_A106_dcm_direct_elution_01</t>
  </si>
  <si>
    <t>dcm_5pmol_std_forcomparison</t>
  </si>
  <si>
    <t>3_standardA106_test_02_v2_1ul</t>
  </si>
  <si>
    <t>3_std02A106_directElution_42_oldRamp_0pt8ul</t>
  </si>
  <si>
    <t>3_std02A106_directElution_oldRamp_5pmol</t>
  </si>
  <si>
    <t>File name</t>
  </si>
  <si>
    <t>3_std02A106_01-higherAGC</t>
  </si>
  <si>
    <t>3_A106_dcm_01</t>
  </si>
  <si>
    <t>3_std02A106_01b</t>
  </si>
  <si>
    <t>time window</t>
  </si>
  <si>
    <t>orbi settings</t>
  </si>
  <si>
    <t>average</t>
  </si>
  <si>
    <t>snl</t>
  </si>
  <si>
    <t>29.5-29.9</t>
  </si>
  <si>
    <t>71.66-72.05</t>
  </si>
  <si>
    <t>72.05-73.3</t>
  </si>
  <si>
    <t>92.15-93.66</t>
  </si>
  <si>
    <t>95.35-97.96</t>
  </si>
  <si>
    <t>Date</t>
  </si>
  <si>
    <r>
      <t xml:space="preserve">Direct elution measurement 1 - </t>
    </r>
    <r>
      <rPr>
        <sz val="12"/>
        <color theme="4"/>
        <rFont val="Calibri"/>
        <family val="2"/>
        <scheme val="minor"/>
      </rPr>
      <t>2ul, no mass jump window, 120k, 2e5 agc, slow ramp from 40 degrees</t>
    </r>
  </si>
  <si>
    <r>
      <rPr>
        <b/>
        <sz val="12"/>
        <color theme="9"/>
        <rFont val="Calibri"/>
        <family val="2"/>
        <scheme val="minor"/>
      </rPr>
      <t>Measurement 2 -</t>
    </r>
    <r>
      <rPr>
        <sz val="12"/>
        <color theme="9"/>
        <rFont val="Calibri"/>
        <family val="2"/>
        <scheme val="minor"/>
      </rPr>
      <t xml:space="preserve"> 2.8ul, mass jump, ramp from 50degrees, 2e4, 2e4, 1e5 AGC targets for the different windows</t>
    </r>
  </si>
  <si>
    <t>120k, 2e5</t>
  </si>
  <si>
    <t>120k, 2e4</t>
  </si>
  <si>
    <t>120k, 5e4</t>
  </si>
  <si>
    <t>120k, 1e5</t>
  </si>
  <si>
    <t>A106:</t>
  </si>
  <si>
    <t>Standard calibration:</t>
  </si>
  <si>
    <t>background</t>
  </si>
  <si>
    <t>bacgkround</t>
  </si>
  <si>
    <t>-</t>
  </si>
  <si>
    <t>29.3-29.9</t>
  </si>
  <si>
    <t>28.8-29.2</t>
  </si>
  <si>
    <t>70-70.5</t>
  </si>
  <si>
    <t>72-72.05</t>
  </si>
  <si>
    <t>91-91.5</t>
  </si>
  <si>
    <t>94.5-95</t>
  </si>
  <si>
    <t>20.7-22.15</t>
  </si>
  <si>
    <t>61.1-62.1</t>
  </si>
  <si>
    <t>62.1-63.35</t>
  </si>
  <si>
    <t>81.95, 83.32</t>
  </si>
  <si>
    <t>85.3, 87</t>
  </si>
  <si>
    <t>NAPTHALENE</t>
  </si>
  <si>
    <t>PHENANTHRENE</t>
  </si>
  <si>
    <t>ANTHRACENE</t>
  </si>
  <si>
    <t>FLUORANTHENE</t>
  </si>
  <si>
    <t>PYRENE</t>
  </si>
  <si>
    <t>13C</t>
  </si>
  <si>
    <t>2X13C</t>
  </si>
  <si>
    <t>SNL</t>
  </si>
  <si>
    <t>NL score of peak</t>
  </si>
  <si>
    <t>A106</t>
  </si>
  <si>
    <t>concentration (pmol)</t>
  </si>
  <si>
    <t>3_std02A106_dcm_03_higherAGC_1ul</t>
  </si>
  <si>
    <t>3_C107_dcm_01</t>
  </si>
  <si>
    <t>5pmol_dcm_std</t>
  </si>
  <si>
    <t>3_std02A106_1ul_02</t>
  </si>
  <si>
    <t>3_std02A106_1ul_03</t>
  </si>
  <si>
    <t>3_std02A106_1ul</t>
  </si>
  <si>
    <t>3_C107_dcm_2pt5ul_02</t>
  </si>
  <si>
    <t>3_C107_dcm_2pt5ul_03</t>
  </si>
  <si>
    <t>3_std02A106_0pt6ul_01</t>
  </si>
  <si>
    <t>3_std02A106_0pt6ul_02</t>
  </si>
  <si>
    <t>C107</t>
  </si>
  <si>
    <t>Replicate measurements of C107</t>
  </si>
  <si>
    <t>20.5-22.2</t>
  </si>
  <si>
    <t>61.2-62.4</t>
  </si>
  <si>
    <t>62.4-64</t>
  </si>
  <si>
    <t>81.95-83.32</t>
  </si>
  <si>
    <t>85.3-87</t>
  </si>
  <si>
    <t>2x13C/13C</t>
  </si>
  <si>
    <t>2H/13C</t>
  </si>
  <si>
    <t>3_std02A106_mplus1_0pt8ul_2DaMassWindow_test</t>
  </si>
  <si>
    <t>3_2Da_mplus1_C107_dcm_2pt5ul_01</t>
  </si>
  <si>
    <t>3_std02A106_2Da_mplus1_0pt8ul_02</t>
  </si>
  <si>
    <t>3_2Da_mplus1_C107_dcm_4pt5_01</t>
  </si>
  <si>
    <t>3_std02A106_2Da_mplus1_1ul_01</t>
  </si>
  <si>
    <t>3_std02A106_2Da_mplus1_1pt3ul_01</t>
  </si>
  <si>
    <t>3_2Da_mplus1_C107_dcm_4pt5ul_02</t>
  </si>
  <si>
    <t>3_std02A106_2Da_mplus1_1pt3ul_02</t>
  </si>
  <si>
    <t>3_2Da_mplus1_C107_dcm_4pt5ul_03</t>
  </si>
  <si>
    <t>180k, 2e4</t>
  </si>
  <si>
    <t>20.5-20.8</t>
  </si>
  <si>
    <t>3_std02A106_2Da_mplus1_1pt4ul_03</t>
  </si>
  <si>
    <t>(singly sub 13C peak NL score)</t>
  </si>
  <si>
    <t>*never under AGC control</t>
  </si>
  <si>
    <t>*not including because the 2 folloiwng are not under AGC control</t>
  </si>
  <si>
    <t>61.13, 61.8</t>
  </si>
  <si>
    <t>62.2, 62.85</t>
  </si>
  <si>
    <t>61.13, 61.75</t>
  </si>
  <si>
    <t>62.2, 62.8</t>
  </si>
  <si>
    <t>82, 83.05</t>
  </si>
  <si>
    <t>81.95, 83.05</t>
  </si>
  <si>
    <t>85.25, 87</t>
  </si>
  <si>
    <t>** I don't think this data is reliable because of the contaminant co-elutent peak</t>
  </si>
  <si>
    <t>sample</t>
  </si>
  <si>
    <t>standard</t>
  </si>
  <si>
    <t>mu^ (WEM)</t>
  </si>
  <si>
    <t>R(sample/standard)</t>
  </si>
  <si>
    <t>delta value (PDB)</t>
  </si>
  <si>
    <t>delta value (smp/std)</t>
  </si>
  <si>
    <t>s(mu^)</t>
  </si>
  <si>
    <t>sample to base peak</t>
  </si>
  <si>
    <t>standard to base peak</t>
  </si>
  <si>
    <t>R (sample/std)</t>
  </si>
  <si>
    <t>delta value)</t>
  </si>
  <si>
    <t>**There is something odd about this particular data set -- I would used the 2Da window one instead</t>
  </si>
  <si>
    <t>[13C]</t>
  </si>
  <si>
    <t>[12C]</t>
  </si>
  <si>
    <t>R [13C/12C] natural</t>
  </si>
  <si>
    <t>R [2x13C]</t>
  </si>
  <si>
    <t>delta</t>
  </si>
  <si>
    <t>R (sa/std)</t>
  </si>
  <si>
    <t>R sample (13C/12C)</t>
  </si>
  <si>
    <t>16C combination</t>
  </si>
  <si>
    <t>number of C</t>
  </si>
  <si>
    <t>fluor, pyrene</t>
  </si>
  <si>
    <t>phenanthrene, anthracene</t>
  </si>
  <si>
    <t>napthalene</t>
  </si>
  <si>
    <t>[2x13C] - 16 C</t>
  </si>
  <si>
    <t>R - 16C</t>
  </si>
  <si>
    <t>[2x13C]  - 14C</t>
  </si>
  <si>
    <t>R - 14C</t>
  </si>
  <si>
    <t>14C combo</t>
  </si>
  <si>
    <t>[2x13C] - 10C</t>
  </si>
  <si>
    <t>R - 10C</t>
  </si>
  <si>
    <t>10C combo</t>
  </si>
  <si>
    <t>Terrestrial fractionation lines</t>
  </si>
  <si>
    <t>Standard constraints</t>
  </si>
  <si>
    <t>d13C vpdb (EA)</t>
  </si>
  <si>
    <t>2x13C (Orbitrap)</t>
  </si>
  <si>
    <t>Measurements - HB2</t>
  </si>
  <si>
    <t>Natural abundance</t>
  </si>
  <si>
    <t>singly sub 13C</t>
  </si>
  <si>
    <t>doubly sub 13C</t>
  </si>
  <si>
    <t>Computed offset from fractionation</t>
  </si>
  <si>
    <t>Corrected value</t>
  </si>
  <si>
    <t>SE (2x13C, Orbitrap)</t>
  </si>
  <si>
    <t>Napthalene</t>
  </si>
  <si>
    <t>Phenanthrene</t>
  </si>
  <si>
    <t>Anthracene</t>
  </si>
  <si>
    <t>Pyrene</t>
  </si>
  <si>
    <t>Fluoranthene</t>
  </si>
  <si>
    <t>SE (d13C, from EA)</t>
  </si>
  <si>
    <t>Difference from terrestrial fractionation line</t>
  </si>
  <si>
    <t>EA standard d13C (PDB)</t>
  </si>
  <si>
    <t>A106 - d13C vpdb (orbitrap via EA conversion)</t>
  </si>
  <si>
    <t>A106 - SE (d13C, propagated)</t>
  </si>
  <si>
    <t>C107 - d13C vpdb (orbitrap via EA conversion)</t>
  </si>
  <si>
    <t>C107 - SE (d13C, propagated)</t>
  </si>
  <si>
    <t>Napthalene (n=2, 04082022)</t>
  </si>
  <si>
    <t>Phenanthrene  (n=2, 04282022)</t>
  </si>
  <si>
    <t>Anthracene  (n=2, 04282022)</t>
  </si>
  <si>
    <t>Fluoranthene (n=2, 04282022)</t>
  </si>
  <si>
    <t>Pyrene (n=2, 04282022)</t>
  </si>
  <si>
    <t>stdev</t>
  </si>
  <si>
    <t>average * SNL</t>
  </si>
  <si>
    <t>average*snl</t>
  </si>
  <si>
    <t>to base peak</t>
  </si>
  <si>
    <t>R</t>
  </si>
  <si>
    <t xml:space="preserve">both 2x13C </t>
  </si>
  <si>
    <t>D_2X13C (per mile)</t>
  </si>
  <si>
    <t>~SE</t>
  </si>
  <si>
    <t>n = 2</t>
  </si>
  <si>
    <t>within measurement ref frame</t>
  </si>
  <si>
    <t>TCEA standard dD (VSMOW)</t>
  </si>
  <si>
    <t>Final Report</t>
  </si>
  <si>
    <t>Job 2022-0062</t>
  </si>
  <si>
    <t>Isotope(s) requested:</t>
  </si>
  <si>
    <r>
      <t>δ</t>
    </r>
    <r>
      <rPr>
        <vertAlign val="superscript"/>
        <sz val="12"/>
        <rFont val="Times New Roman"/>
        <family val="1"/>
      </rPr>
      <t>2</t>
    </r>
    <r>
      <rPr>
        <sz val="12"/>
        <rFont val="Times New Roman"/>
        <family val="1"/>
      </rPr>
      <t>H</t>
    </r>
  </si>
  <si>
    <t>Instrument Used:</t>
  </si>
  <si>
    <t>Temperature Conversion Elemental Analyser coupled to a Thermo Delta Plus IRMS</t>
  </si>
  <si>
    <t>Analytical Code:</t>
  </si>
  <si>
    <t>021 Hydrogen solid analysis</t>
  </si>
  <si>
    <t>Units:</t>
  </si>
  <si>
    <r>
      <t>δ</t>
    </r>
    <r>
      <rPr>
        <vertAlign val="superscript"/>
        <sz val="12"/>
        <color indexed="8"/>
        <rFont val="Times New Roman"/>
        <family val="1"/>
      </rPr>
      <t>2</t>
    </r>
    <r>
      <rPr>
        <sz val="12"/>
        <color indexed="8"/>
        <rFont val="Times New Roman"/>
        <family val="1"/>
      </rPr>
      <t>H values are reported w.r.t. VSMOW in parts per thousand (per mil)</t>
    </r>
  </si>
  <si>
    <t>Principal Investigator:</t>
  </si>
  <si>
    <t>Eiler</t>
  </si>
  <si>
    <t>Job submission contact:</t>
  </si>
  <si>
    <t>Sarah Zeichner</t>
  </si>
  <si>
    <t>Sample Material(s):</t>
  </si>
  <si>
    <t>polycyclic aromatic hydrocarbon pure standards</t>
  </si>
  <si>
    <t>Project:</t>
  </si>
  <si>
    <t>dD composition of PAH standards</t>
  </si>
  <si>
    <t>Date Submited:</t>
  </si>
  <si>
    <t>Number of unknown samples analyzed:</t>
  </si>
  <si>
    <t>Number of reference samples analyzed:</t>
  </si>
  <si>
    <t>Quality Control Reference Material 1:</t>
  </si>
  <si>
    <t>USGS 42</t>
  </si>
  <si>
    <t>Quality Control Reference Material 2:</t>
  </si>
  <si>
    <t>USGS 43</t>
  </si>
  <si>
    <t>Quality Assessment Reference Material 3:</t>
  </si>
  <si>
    <t>UWSIF33 (Turkey)</t>
  </si>
  <si>
    <t>Quality Control Data</t>
  </si>
  <si>
    <t>Quality Assessment Data</t>
  </si>
  <si>
    <t>Reference Material 1</t>
  </si>
  <si>
    <t>Known</t>
  </si>
  <si>
    <t>Reference Material 3</t>
  </si>
  <si>
    <t>Normalized</t>
  </si>
  <si>
    <r>
      <t>δ</t>
    </r>
    <r>
      <rPr>
        <vertAlign val="superscript"/>
        <sz val="12"/>
        <color rgb="FF8F2E00"/>
        <rFont val="Times New Roman"/>
        <family val="1"/>
      </rPr>
      <t>2</t>
    </r>
    <r>
      <rPr>
        <sz val="12"/>
        <color rgb="FF8F2E00"/>
        <rFont val="Times New Roman"/>
        <family val="1"/>
      </rPr>
      <t>H</t>
    </r>
    <r>
      <rPr>
        <vertAlign val="subscript"/>
        <sz val="12"/>
        <color indexed="60"/>
        <rFont val="Times New Roman"/>
        <family val="1"/>
      </rPr>
      <t xml:space="preserve"> VSMOW</t>
    </r>
  </si>
  <si>
    <r>
      <t>δ</t>
    </r>
    <r>
      <rPr>
        <vertAlign val="superscript"/>
        <sz val="12"/>
        <color rgb="FF8F2E00"/>
        <rFont val="Times New Roman"/>
        <family val="1"/>
      </rPr>
      <t>2</t>
    </r>
    <r>
      <rPr>
        <sz val="12"/>
        <color rgb="FF8F2E00"/>
        <rFont val="Times New Roman"/>
        <family val="1"/>
      </rPr>
      <t xml:space="preserve">H </t>
    </r>
    <r>
      <rPr>
        <vertAlign val="subscript"/>
        <sz val="12"/>
        <color rgb="FF8F2E00"/>
        <rFont val="Times New Roman"/>
        <family val="1"/>
      </rPr>
      <t>VSMOW</t>
    </r>
  </si>
  <si>
    <t>N=18</t>
  </si>
  <si>
    <t>average  (N=18)</t>
  </si>
  <si>
    <t>standard uncertainty</t>
  </si>
  <si>
    <t>Reference Material 2</t>
  </si>
  <si>
    <t>Long-Term</t>
  </si>
  <si>
    <t>Acceptable Range</t>
  </si>
  <si>
    <r>
      <t xml:space="preserve">2 </t>
    </r>
    <r>
      <rPr>
        <sz val="12"/>
        <rFont val="Calibri"/>
        <family val="2"/>
      </rPr>
      <t>σ</t>
    </r>
    <r>
      <rPr>
        <sz val="12"/>
        <rFont val="Times New Roman"/>
        <family val="1"/>
      </rPr>
      <t xml:space="preserve"> = 4</t>
    </r>
  </si>
  <si>
    <t xml:space="preserve">Record Keeping </t>
  </si>
  <si>
    <t>Quality Assurance Approval</t>
  </si>
  <si>
    <t>Date Reported:</t>
  </si>
  <si>
    <t>Reviewer:</t>
  </si>
  <si>
    <t>Date Invoiced:</t>
  </si>
  <si>
    <t>Title:</t>
  </si>
  <si>
    <t>Initial:</t>
  </si>
  <si>
    <t>Date Reviewed:</t>
  </si>
  <si>
    <t>Comments:</t>
  </si>
  <si>
    <t>Analytical Comments:</t>
  </si>
  <si>
    <t>*Samples were equilibrated for 3 weeks at 100% humidity along with the reference materials.</t>
  </si>
  <si>
    <t>Quality Control Color Legend</t>
  </si>
  <si>
    <t>Yellow</t>
  </si>
  <si>
    <t>Peak amplitudes too low for reliable results. Use with extreme caution or rerun the sample.</t>
  </si>
  <si>
    <t>Green</t>
  </si>
  <si>
    <t>Weight percent values wrong. Use with caution.</t>
  </si>
  <si>
    <t>Pink</t>
  </si>
  <si>
    <t>Potential outlier. Use with caution.</t>
  </si>
  <si>
    <t>Blue</t>
  </si>
  <si>
    <t>Sample lost during the analysis. Reload and rerun the sample.</t>
  </si>
  <si>
    <t>Dark Blue</t>
  </si>
  <si>
    <t>Tray was bumped. All highlighted in dark blue may be switched.</t>
  </si>
  <si>
    <t>Olive</t>
  </si>
  <si>
    <t>Possible sample ID problem.  Check loading documents.</t>
  </si>
  <si>
    <t>SIF ID</t>
  </si>
  <si>
    <t>Sample ID</t>
  </si>
  <si>
    <r>
      <t>δ</t>
    </r>
    <r>
      <rPr>
        <b/>
        <vertAlign val="superscript"/>
        <sz val="14"/>
        <rFont val="Times New Roman"/>
        <family val="1"/>
      </rPr>
      <t>2</t>
    </r>
    <r>
      <rPr>
        <b/>
        <sz val="14"/>
        <rFont val="Times New Roman"/>
        <family val="1"/>
      </rPr>
      <t>H*</t>
    </r>
  </si>
  <si>
    <t>Comments</t>
  </si>
  <si>
    <t>20220062.001</t>
  </si>
  <si>
    <t>Napth-SSZ-061322 rep 1</t>
  </si>
  <si>
    <t>Amp-Bel-H</t>
  </si>
  <si>
    <t>20220062.002</t>
  </si>
  <si>
    <t>Napth-SSZ-061322 rep 2</t>
  </si>
  <si>
    <t>20220062.003</t>
  </si>
  <si>
    <t>Napth-SSZ-061322 rep 3</t>
  </si>
  <si>
    <t>20220062.004</t>
  </si>
  <si>
    <t>Phenan-SSZ-061322 rep 1</t>
  </si>
  <si>
    <t>No-PK-H</t>
  </si>
  <si>
    <t>20220062.005</t>
  </si>
  <si>
    <t>Phenan-SSZ-061322 rep 2</t>
  </si>
  <si>
    <t>20220062.006</t>
  </si>
  <si>
    <t>Phenan-SSZ-061322 rep 3</t>
  </si>
  <si>
    <t>20220062.007</t>
  </si>
  <si>
    <t>Anthra-SSZ-061322 rep 1</t>
  </si>
  <si>
    <t>20220062.008</t>
  </si>
  <si>
    <t>Anthra-SSZ-061322 rep 2</t>
  </si>
  <si>
    <t>20220062.009</t>
  </si>
  <si>
    <t>Anthra-SSZ-061322 rep 3</t>
  </si>
  <si>
    <t>20220062.010</t>
  </si>
  <si>
    <t>Fluor-SSZ-061322 rep 1</t>
  </si>
  <si>
    <t>20220062.011</t>
  </si>
  <si>
    <t>Fluor-SSZ-061322 rep 2</t>
  </si>
  <si>
    <t>20220062.012</t>
  </si>
  <si>
    <t>Fluor-SSZ-061322 rep 3</t>
  </si>
  <si>
    <t>20220062.013</t>
  </si>
  <si>
    <t>Pyrene-SSZ-061322 rep 1</t>
  </si>
  <si>
    <t>20220062.014</t>
  </si>
  <si>
    <t>Pyrene-SSZ-061322 rep 2</t>
  </si>
  <si>
    <t>20220062.015</t>
  </si>
  <si>
    <t>Pyrene-SSZ-061322 rep 3</t>
  </si>
  <si>
    <t>&lt;- estimate bc original peaks were empty</t>
  </si>
  <si>
    <t>delta value (VSMOW)</t>
  </si>
  <si>
    <t>R (standard, VSMOW)</t>
  </si>
  <si>
    <t>Difference from terrestrial fractionation</t>
  </si>
  <si>
    <t>D2x13C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</si>
</sst>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5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9"/>
      <name val="Calibri"/>
      <family val="2"/>
      <scheme val="minor"/>
    </font>
    <font>
      <b/>
      <sz val="12"/>
      <color theme="9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Helvetica Neue"/>
      <family val="2"/>
    </font>
    <font>
      <b/>
      <sz val="24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6"/>
      <name val="Calibri"/>
      <family val="2"/>
      <scheme val="minor"/>
    </font>
    <font>
      <sz val="11"/>
      <color rgb="FF000000"/>
      <name val="Helvetica Neue"/>
      <family val="2"/>
    </font>
    <font>
      <sz val="12"/>
      <color rgb="FFFF0000"/>
      <name val="Calibri"/>
      <family val="2"/>
      <scheme val="minor"/>
    </font>
    <font>
      <b/>
      <sz val="12"/>
      <color rgb="FFFF0000"/>
      <name val="Calibri (Body)"/>
    </font>
    <font>
      <b/>
      <sz val="12"/>
      <color rgb="FFFF00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0"/>
      <name val="Helvetica Neue"/>
      <family val="2"/>
    </font>
    <font>
      <b/>
      <sz val="12"/>
      <color theme="8"/>
      <name val="Calibri (Body)"/>
    </font>
    <font>
      <sz val="12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20"/>
      <color rgb="FF8F2E00"/>
      <name val="Times New Roman"/>
      <family val="1"/>
    </font>
    <font>
      <sz val="20"/>
      <name val="Arial"/>
      <family val="2"/>
    </font>
    <font>
      <sz val="10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6"/>
      <name val="Arial"/>
      <family val="2"/>
    </font>
    <font>
      <b/>
      <sz val="12"/>
      <color rgb="FF8F2E00"/>
      <name val="Times New Roman"/>
      <family val="1"/>
    </font>
    <font>
      <vertAlign val="superscript"/>
      <sz val="12"/>
      <name val="Times New Roman"/>
      <family val="1"/>
    </font>
    <font>
      <sz val="12"/>
      <color indexed="8"/>
      <name val="Times New Roman"/>
      <family val="1"/>
    </font>
    <font>
      <vertAlign val="superscript"/>
      <sz val="12"/>
      <color indexed="8"/>
      <name val="Times New Roman"/>
      <family val="1"/>
    </font>
    <font>
      <sz val="12"/>
      <color theme="1"/>
      <name val="Times New Roman"/>
      <family val="1"/>
    </font>
    <font>
      <sz val="10"/>
      <name val="MS Sans Serif"/>
      <family val="2"/>
    </font>
    <font>
      <b/>
      <sz val="14"/>
      <name val="Times New Roman"/>
      <family val="1"/>
    </font>
    <font>
      <sz val="12"/>
      <color rgb="FF8F2E00"/>
      <name val="Times New Roman"/>
      <family val="1"/>
    </font>
    <font>
      <vertAlign val="superscript"/>
      <sz val="12"/>
      <color rgb="FF8F2E00"/>
      <name val="Times New Roman"/>
      <family val="1"/>
    </font>
    <font>
      <vertAlign val="subscript"/>
      <sz val="12"/>
      <color indexed="60"/>
      <name val="Times New Roman"/>
      <family val="1"/>
    </font>
    <font>
      <vertAlign val="subscript"/>
      <sz val="12"/>
      <color rgb="FF8F2E00"/>
      <name val="Times New Roman"/>
      <family val="1"/>
    </font>
    <font>
      <sz val="12"/>
      <name val="Calibri"/>
      <family val="2"/>
    </font>
    <font>
      <sz val="14"/>
      <name val="Arial"/>
      <family val="2"/>
    </font>
    <font>
      <i/>
      <sz val="12"/>
      <name val="Times New Roman"/>
      <family val="1"/>
    </font>
    <font>
      <i/>
      <sz val="10"/>
      <name val="Times New Roman"/>
      <family val="1"/>
    </font>
    <font>
      <b/>
      <sz val="10"/>
      <name val="Arial"/>
      <family val="2"/>
    </font>
    <font>
      <b/>
      <vertAlign val="superscript"/>
      <sz val="14"/>
      <name val="Times New Roman"/>
      <family val="1"/>
    </font>
    <font>
      <b/>
      <sz val="12"/>
      <color theme="8"/>
      <name val="Calibri"/>
      <family val="2"/>
      <scheme val="minor"/>
    </font>
    <font>
      <b/>
      <sz val="22"/>
      <color theme="8"/>
      <name val="Calibri"/>
      <family val="2"/>
      <scheme val="minor"/>
    </font>
    <font>
      <b/>
      <sz val="16"/>
      <color theme="8"/>
      <name val="Calibri"/>
      <family val="2"/>
      <scheme val="minor"/>
    </font>
    <font>
      <b/>
      <i/>
      <sz val="12"/>
      <color theme="8"/>
      <name val="Calibri"/>
      <family val="2"/>
      <scheme val="minor"/>
    </font>
    <font>
      <sz val="16"/>
      <color theme="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E4A1FF"/>
        <bgColor indexed="64"/>
      </patternFill>
    </fill>
    <fill>
      <patternFill patternType="solid">
        <fgColor rgb="FFAAFA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5F5C4"/>
        <bgColor indexed="64"/>
      </patternFill>
    </fill>
    <fill>
      <patternFill patternType="solid">
        <fgColor rgb="FF9A97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rgb="FFFFC425"/>
      </top>
      <bottom/>
      <diagonal/>
    </border>
    <border>
      <left/>
      <right/>
      <top style="thick">
        <color rgb="FFFFC425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1" fillId="0" borderId="1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</cellStyleXfs>
  <cellXfs count="301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0" fontId="4" fillId="0" borderId="0" xfId="0" applyFont="1"/>
    <xf numFmtId="0" fontId="6" fillId="0" borderId="0" xfId="0" applyFont="1"/>
    <xf numFmtId="0" fontId="1" fillId="2" borderId="0" xfId="0" applyFont="1" applyFill="1"/>
    <xf numFmtId="0" fontId="2" fillId="2" borderId="0" xfId="0" applyFont="1" applyFill="1"/>
    <xf numFmtId="0" fontId="0" fillId="3" borderId="0" xfId="0" applyFill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2" borderId="0" xfId="0" applyFont="1" applyFill="1"/>
    <xf numFmtId="14" fontId="12" fillId="2" borderId="0" xfId="0" applyNumberFormat="1" applyFont="1" applyFill="1"/>
    <xf numFmtId="14" fontId="12" fillId="0" borderId="0" xfId="0" applyNumberFormat="1" applyFont="1"/>
    <xf numFmtId="0" fontId="12" fillId="0" borderId="0" xfId="0" applyFont="1"/>
    <xf numFmtId="14" fontId="12" fillId="3" borderId="0" xfId="0" applyNumberFormat="1" applyFont="1" applyFill="1"/>
    <xf numFmtId="0" fontId="13" fillId="0" borderId="0" xfId="0" applyFont="1"/>
    <xf numFmtId="11" fontId="0" fillId="2" borderId="0" xfId="0" applyNumberFormat="1" applyFill="1"/>
    <xf numFmtId="2" fontId="9" fillId="0" borderId="0" xfId="0" applyNumberFormat="1" applyFont="1"/>
    <xf numFmtId="2" fontId="0" fillId="0" borderId="0" xfId="0" applyNumberFormat="1"/>
    <xf numFmtId="2" fontId="2" fillId="0" borderId="0" xfId="0" applyNumberFormat="1" applyFont="1"/>
    <xf numFmtId="2" fontId="2" fillId="2" borderId="0" xfId="0" applyNumberFormat="1" applyFont="1" applyFill="1"/>
    <xf numFmtId="2" fontId="0" fillId="2" borderId="0" xfId="0" applyNumberFormat="1" applyFill="1"/>
    <xf numFmtId="2" fontId="0" fillId="3" borderId="0" xfId="0" applyNumberFormat="1" applyFill="1"/>
    <xf numFmtId="2" fontId="8" fillId="4" borderId="0" xfId="0" applyNumberFormat="1" applyFont="1" applyFill="1"/>
    <xf numFmtId="11" fontId="0" fillId="3" borderId="0" xfId="0" applyNumberFormat="1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/>
    <xf numFmtId="14" fontId="12" fillId="5" borderId="0" xfId="0" applyNumberFormat="1" applyFont="1" applyFill="1"/>
    <xf numFmtId="0" fontId="8" fillId="5" borderId="0" xfId="0" applyFont="1" applyFill="1"/>
    <xf numFmtId="0" fontId="0" fillId="5" borderId="0" xfId="0" applyFill="1"/>
    <xf numFmtId="2" fontId="0" fillId="5" borderId="0" xfId="0" applyNumberFormat="1" applyFill="1"/>
    <xf numFmtId="0" fontId="0" fillId="5" borderId="0" xfId="0" applyFill="1" applyAlignment="1">
      <alignment horizontal="center"/>
    </xf>
    <xf numFmtId="0" fontId="8" fillId="6" borderId="0" xfId="0" applyFont="1" applyFill="1"/>
    <xf numFmtId="0" fontId="0" fillId="7" borderId="0" xfId="0" applyFill="1"/>
    <xf numFmtId="2" fontId="0" fillId="7" borderId="0" xfId="0" applyNumberFormat="1" applyFill="1"/>
    <xf numFmtId="14" fontId="0" fillId="8" borderId="0" xfId="0" applyNumberFormat="1" applyFill="1"/>
    <xf numFmtId="0" fontId="0" fillId="8" borderId="0" xfId="0" applyFill="1"/>
    <xf numFmtId="2" fontId="0" fillId="8" borderId="0" xfId="0" applyNumberFormat="1" applyFill="1"/>
    <xf numFmtId="11" fontId="0" fillId="5" borderId="0" xfId="0" applyNumberFormat="1" applyFill="1"/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11" fontId="0" fillId="8" borderId="0" xfId="0" applyNumberFormat="1" applyFill="1"/>
    <xf numFmtId="11" fontId="0" fillId="7" borderId="0" xfId="0" applyNumberFormat="1" applyFill="1"/>
    <xf numFmtId="0" fontId="1" fillId="0" borderId="0" xfId="0" applyFont="1" applyAlignment="1">
      <alignment horizontal="left"/>
    </xf>
    <xf numFmtId="11" fontId="0" fillId="7" borderId="0" xfId="0" applyNumberFormat="1" applyFill="1" applyAlignment="1">
      <alignment horizontal="center"/>
    </xf>
    <xf numFmtId="11" fontId="0" fillId="8" borderId="0" xfId="0" applyNumberFormat="1" applyFill="1" applyAlignment="1">
      <alignment horizontal="center"/>
    </xf>
    <xf numFmtId="11" fontId="0" fillId="0" borderId="0" xfId="0" applyNumberFormat="1"/>
    <xf numFmtId="0" fontId="16" fillId="9" borderId="0" xfId="0" applyFont="1" applyFill="1"/>
    <xf numFmtId="0" fontId="16" fillId="9" borderId="0" xfId="0" applyFont="1" applyFill="1" applyAlignment="1">
      <alignment horizontal="center"/>
    </xf>
    <xf numFmtId="2" fontId="16" fillId="9" borderId="0" xfId="0" applyNumberFormat="1" applyFont="1" applyFill="1"/>
    <xf numFmtId="11" fontId="16" fillId="9" borderId="0" xfId="0" applyNumberFormat="1" applyFont="1" applyFill="1" applyAlignment="1">
      <alignment horizontal="center"/>
    </xf>
    <xf numFmtId="0" fontId="16" fillId="0" borderId="0" xfId="0" applyFont="1"/>
    <xf numFmtId="14" fontId="0" fillId="7" borderId="0" xfId="0" applyNumberFormat="1" applyFill="1"/>
    <xf numFmtId="0" fontId="1" fillId="7" borderId="0" xfId="0" applyFont="1" applyFill="1"/>
    <xf numFmtId="0" fontId="17" fillId="0" borderId="0" xfId="0" applyFont="1"/>
    <xf numFmtId="2" fontId="0" fillId="10" borderId="0" xfId="0" applyNumberFormat="1" applyFill="1"/>
    <xf numFmtId="0" fontId="1" fillId="10" borderId="0" xfId="0" applyFont="1" applyFill="1"/>
    <xf numFmtId="0" fontId="0" fillId="10" borderId="0" xfId="0" applyFill="1"/>
    <xf numFmtId="2" fontId="1" fillId="10" borderId="0" xfId="0" applyNumberFormat="1" applyFont="1" applyFill="1"/>
    <xf numFmtId="2" fontId="1" fillId="0" borderId="0" xfId="0" applyNumberFormat="1" applyFont="1"/>
    <xf numFmtId="0" fontId="13" fillId="10" borderId="0" xfId="0" applyFont="1" applyFill="1"/>
    <xf numFmtId="0" fontId="1" fillId="8" borderId="0" xfId="0" applyFont="1" applyFill="1"/>
    <xf numFmtId="0" fontId="15" fillId="5" borderId="0" xfId="0" applyFont="1" applyFill="1"/>
    <xf numFmtId="0" fontId="1" fillId="3" borderId="0" xfId="0" applyFont="1" applyFill="1"/>
    <xf numFmtId="0" fontId="1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11" borderId="0" xfId="0" applyFont="1" applyFill="1" applyAlignment="1">
      <alignment horizontal="center"/>
    </xf>
    <xf numFmtId="0" fontId="15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wrapText="1"/>
    </xf>
    <xf numFmtId="0" fontId="0" fillId="0" borderId="0" xfId="0" applyAlignment="1">
      <alignment horizontal="center" wrapText="1"/>
    </xf>
    <xf numFmtId="0" fontId="8" fillId="0" borderId="0" xfId="0" applyFont="1" applyAlignment="1">
      <alignment horizontal="center" wrapText="1"/>
    </xf>
    <xf numFmtId="0" fontId="15" fillId="11" borderId="0" xfId="0" applyFont="1" applyFill="1" applyAlignment="1">
      <alignment horizontal="center" wrapText="1"/>
    </xf>
    <xf numFmtId="0" fontId="15" fillId="11" borderId="0" xfId="0" applyFont="1" applyFill="1" applyAlignment="1">
      <alignment horizontal="left" wrapText="1"/>
    </xf>
    <xf numFmtId="0" fontId="15" fillId="12" borderId="0" xfId="0" applyFont="1" applyFill="1" applyAlignment="1">
      <alignment horizontal="center" wrapText="1"/>
    </xf>
    <xf numFmtId="0" fontId="0" fillId="12" borderId="0" xfId="0" applyFill="1" applyAlignment="1">
      <alignment horizontal="center"/>
    </xf>
    <xf numFmtId="0" fontId="8" fillId="12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" fillId="12" borderId="0" xfId="0" applyFont="1" applyFill="1" applyAlignment="1">
      <alignment horizontal="center" wrapText="1"/>
    </xf>
    <xf numFmtId="0" fontId="15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0" fontId="15" fillId="11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left" wrapText="1"/>
    </xf>
    <xf numFmtId="0" fontId="0" fillId="10" borderId="0" xfId="0" applyFill="1" applyAlignment="1">
      <alignment horizontal="center"/>
    </xf>
    <xf numFmtId="0" fontId="1" fillId="10" borderId="0" xfId="0" applyFont="1" applyFill="1" applyAlignment="1">
      <alignment horizontal="left"/>
    </xf>
    <xf numFmtId="0" fontId="15" fillId="10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8" fillId="11" borderId="0" xfId="0" applyFont="1" applyFill="1" applyAlignment="1">
      <alignment horizontal="center"/>
    </xf>
    <xf numFmtId="0" fontId="18" fillId="12" borderId="0" xfId="0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20" fillId="0" borderId="0" xfId="0" applyFont="1"/>
    <xf numFmtId="2" fontId="20" fillId="0" borderId="0" xfId="0" applyNumberFormat="1" applyFont="1"/>
    <xf numFmtId="0" fontId="13" fillId="5" borderId="0" xfId="0" applyFont="1" applyFill="1"/>
    <xf numFmtId="0" fontId="13" fillId="2" borderId="0" xfId="0" applyFont="1" applyFill="1"/>
    <xf numFmtId="2" fontId="1" fillId="13" borderId="0" xfId="0" applyNumberFormat="1" applyFont="1" applyFill="1"/>
    <xf numFmtId="0" fontId="0" fillId="13" borderId="0" xfId="0" applyFill="1"/>
    <xf numFmtId="0" fontId="21" fillId="0" borderId="1" xfId="1"/>
    <xf numFmtId="0" fontId="22" fillId="0" borderId="0" xfId="0" applyFont="1"/>
    <xf numFmtId="0" fontId="0" fillId="11" borderId="0" xfId="0" applyFill="1"/>
    <xf numFmtId="0" fontId="1" fillId="11" borderId="0" xfId="0" applyFont="1" applyFill="1"/>
    <xf numFmtId="0" fontId="23" fillId="0" borderId="0" xfId="0" applyFont="1"/>
    <xf numFmtId="0" fontId="24" fillId="0" borderId="0" xfId="0" applyFont="1"/>
    <xf numFmtId="0" fontId="25" fillId="0" borderId="0" xfId="0" applyFont="1" applyAlignment="1">
      <alignment horizontal="center"/>
    </xf>
    <xf numFmtId="0" fontId="26" fillId="14" borderId="2" xfId="0" applyFont="1" applyFill="1" applyBorder="1" applyAlignment="1">
      <alignment horizontal="left"/>
    </xf>
    <xf numFmtId="164" fontId="27" fillId="14" borderId="2" xfId="0" applyNumberFormat="1" applyFont="1" applyFill="1" applyBorder="1" applyAlignment="1">
      <alignment horizontal="center"/>
    </xf>
    <xf numFmtId="0" fontId="30" fillId="14" borderId="2" xfId="0" applyFont="1" applyFill="1" applyBorder="1"/>
    <xf numFmtId="0" fontId="31" fillId="14" borderId="2" xfId="0" applyFont="1" applyFill="1" applyBorder="1"/>
    <xf numFmtId="0" fontId="27" fillId="14" borderId="0" xfId="0" applyFont="1" applyFill="1" applyAlignment="1">
      <alignment horizontal="left"/>
    </xf>
    <xf numFmtId="164" fontId="27" fillId="14" borderId="0" xfId="0" applyNumberFormat="1" applyFont="1" applyFill="1" applyAlignment="1">
      <alignment horizontal="center"/>
    </xf>
    <xf numFmtId="0" fontId="30" fillId="14" borderId="0" xfId="0" applyFont="1" applyFill="1"/>
    <xf numFmtId="0" fontId="31" fillId="14" borderId="0" xfId="0" applyFont="1" applyFill="1"/>
    <xf numFmtId="0" fontId="34" fillId="14" borderId="0" xfId="0" applyFont="1" applyFill="1" applyAlignment="1">
      <alignment horizontal="right"/>
    </xf>
    <xf numFmtId="0" fontId="27" fillId="14" borderId="0" xfId="0" applyFont="1" applyFill="1" applyAlignment="1">
      <alignment horizontal="center"/>
    </xf>
    <xf numFmtId="0" fontId="27" fillId="14" borderId="0" xfId="0" applyFont="1" applyFill="1"/>
    <xf numFmtId="49" fontId="27" fillId="14" borderId="0" xfId="0" applyNumberFormat="1" applyFont="1" applyFill="1" applyAlignment="1">
      <alignment horizontal="left"/>
    </xf>
    <xf numFmtId="0" fontId="36" fillId="14" borderId="0" xfId="0" applyFont="1" applyFill="1" applyAlignment="1">
      <alignment horizontal="left"/>
    </xf>
    <xf numFmtId="0" fontId="38" fillId="14" borderId="0" xfId="0" applyFont="1" applyFill="1" applyAlignment="1">
      <alignment horizontal="left"/>
    </xf>
    <xf numFmtId="0" fontId="38" fillId="14" borderId="0" xfId="0" applyFont="1" applyFill="1" applyAlignment="1">
      <alignment horizontal="center"/>
    </xf>
    <xf numFmtId="2" fontId="27" fillId="14" borderId="0" xfId="0" applyNumberFormat="1" applyFont="1" applyFill="1" applyAlignment="1">
      <alignment horizontal="center"/>
    </xf>
    <xf numFmtId="0" fontId="27" fillId="14" borderId="0" xfId="2" applyFont="1" applyFill="1" applyAlignment="1">
      <alignment horizontal="left"/>
    </xf>
    <xf numFmtId="14" fontId="27" fillId="14" borderId="0" xfId="0" applyNumberFormat="1" applyFont="1" applyFill="1" applyAlignment="1">
      <alignment horizontal="left"/>
    </xf>
    <xf numFmtId="0" fontId="25" fillId="14" borderId="0" xfId="0" applyFont="1" applyFill="1" applyAlignment="1">
      <alignment horizontal="center"/>
    </xf>
    <xf numFmtId="0" fontId="40" fillId="15" borderId="4" xfId="0" applyFont="1" applyFill="1" applyBorder="1"/>
    <xf numFmtId="2" fontId="27" fillId="15" borderId="6" xfId="0" applyNumberFormat="1" applyFont="1" applyFill="1" applyBorder="1" applyAlignment="1">
      <alignment horizontal="center"/>
    </xf>
    <xf numFmtId="2" fontId="27" fillId="15" borderId="5" xfId="0" applyNumberFormat="1" applyFont="1" applyFill="1" applyBorder="1" applyAlignment="1">
      <alignment horizontal="center"/>
    </xf>
    <xf numFmtId="0" fontId="26" fillId="15" borderId="7" xfId="0" applyFont="1" applyFill="1" applyBorder="1"/>
    <xf numFmtId="2" fontId="41" fillId="14" borderId="9" xfId="0" applyNumberFormat="1" applyFont="1" applyFill="1" applyBorder="1" applyAlignment="1">
      <alignment horizontal="center"/>
    </xf>
    <xf numFmtId="0" fontId="26" fillId="15" borderId="10" xfId="0" applyFont="1" applyFill="1" applyBorder="1"/>
    <xf numFmtId="2" fontId="41" fillId="14" borderId="11" xfId="0" applyNumberFormat="1" applyFont="1" applyFill="1" applyBorder="1" applyAlignment="1">
      <alignment horizontal="center"/>
    </xf>
    <xf numFmtId="2" fontId="41" fillId="14" borderId="12" xfId="0" applyNumberFormat="1" applyFont="1" applyFill="1" applyBorder="1" applyAlignment="1">
      <alignment horizontal="center"/>
    </xf>
    <xf numFmtId="2" fontId="41" fillId="14" borderId="13" xfId="0" applyNumberFormat="1" applyFont="1" applyFill="1" applyBorder="1" applyAlignment="1">
      <alignment horizontal="center"/>
    </xf>
    <xf numFmtId="0" fontId="26" fillId="15" borderId="14" xfId="0" applyFont="1" applyFill="1" applyBorder="1"/>
    <xf numFmtId="2" fontId="41" fillId="14" borderId="17" xfId="0" applyNumberFormat="1" applyFont="1" applyFill="1" applyBorder="1" applyAlignment="1">
      <alignment horizontal="center"/>
    </xf>
    <xf numFmtId="2" fontId="41" fillId="14" borderId="18" xfId="0" applyNumberFormat="1" applyFont="1" applyFill="1" applyBorder="1" applyAlignment="1">
      <alignment horizontal="center"/>
    </xf>
    <xf numFmtId="2" fontId="41" fillId="14" borderId="19" xfId="0" applyNumberFormat="1" applyFont="1" applyFill="1" applyBorder="1" applyAlignment="1">
      <alignment horizontal="center"/>
    </xf>
    <xf numFmtId="2" fontId="41" fillId="14" borderId="0" xfId="0" applyNumberFormat="1" applyFont="1" applyFill="1" applyAlignment="1">
      <alignment horizontal="center"/>
    </xf>
    <xf numFmtId="0" fontId="41" fillId="14" borderId="20" xfId="0" applyFont="1" applyFill="1" applyBorder="1" applyAlignment="1">
      <alignment horizontal="right"/>
    </xf>
    <xf numFmtId="0" fontId="41" fillId="14" borderId="25" xfId="0" applyFont="1" applyFill="1" applyBorder="1" applyAlignment="1">
      <alignment horizontal="right"/>
    </xf>
    <xf numFmtId="1" fontId="27" fillId="14" borderId="21" xfId="0" applyNumberFormat="1" applyFont="1" applyFill="1" applyBorder="1" applyAlignment="1">
      <alignment horizontal="center"/>
    </xf>
    <xf numFmtId="1" fontId="27" fillId="14" borderId="22" xfId="0" applyNumberFormat="1" applyFont="1" applyFill="1" applyBorder="1" applyAlignment="1">
      <alignment horizontal="center"/>
    </xf>
    <xf numFmtId="1" fontId="27" fillId="14" borderId="17" xfId="0" applyNumberFormat="1" applyFont="1" applyFill="1" applyBorder="1" applyAlignment="1">
      <alignment horizontal="center"/>
    </xf>
    <xf numFmtId="0" fontId="41" fillId="14" borderId="26" xfId="0" applyFont="1" applyFill="1" applyBorder="1" applyAlignment="1">
      <alignment horizontal="right"/>
    </xf>
    <xf numFmtId="1" fontId="27" fillId="14" borderId="28" xfId="0" applyNumberFormat="1" applyFont="1" applyFill="1" applyBorder="1" applyAlignment="1">
      <alignment horizontal="center"/>
    </xf>
    <xf numFmtId="2" fontId="27" fillId="14" borderId="27" xfId="0" applyNumberFormat="1" applyFont="1" applyFill="1" applyBorder="1" applyAlignment="1">
      <alignment horizontal="center"/>
    </xf>
    <xf numFmtId="0" fontId="26" fillId="15" borderId="29" xfId="0" applyFont="1" applyFill="1" applyBorder="1"/>
    <xf numFmtId="2" fontId="41" fillId="14" borderId="30" xfId="0" applyNumberFormat="1" applyFont="1" applyFill="1" applyBorder="1" applyAlignment="1">
      <alignment horizontal="center"/>
    </xf>
    <xf numFmtId="0" fontId="41" fillId="14" borderId="29" xfId="0" applyFont="1" applyFill="1" applyBorder="1" applyAlignment="1">
      <alignment horizontal="right" vertical="center"/>
    </xf>
    <xf numFmtId="1" fontId="27" fillId="14" borderId="31" xfId="0" applyNumberFormat="1" applyFont="1" applyFill="1" applyBorder="1" applyAlignment="1">
      <alignment horizontal="center"/>
    </xf>
    <xf numFmtId="0" fontId="41" fillId="14" borderId="32" xfId="0" applyFont="1" applyFill="1" applyBorder="1" applyAlignment="1">
      <alignment horizontal="right" vertical="center"/>
    </xf>
    <xf numFmtId="2" fontId="27" fillId="14" borderId="33" xfId="0" applyNumberFormat="1" applyFont="1" applyFill="1" applyBorder="1" applyAlignment="1">
      <alignment horizontal="center"/>
    </xf>
    <xf numFmtId="1" fontId="27" fillId="14" borderId="34" xfId="0" applyNumberFormat="1" applyFont="1" applyFill="1" applyBorder="1" applyAlignment="1">
      <alignment horizontal="center"/>
    </xf>
    <xf numFmtId="1" fontId="41" fillId="14" borderId="17" xfId="0" applyNumberFormat="1" applyFont="1" applyFill="1" applyBorder="1" applyAlignment="1">
      <alignment horizontal="center"/>
    </xf>
    <xf numFmtId="0" fontId="41" fillId="14" borderId="35" xfId="0" applyFont="1" applyFill="1" applyBorder="1" applyAlignment="1">
      <alignment horizontal="right"/>
    </xf>
    <xf numFmtId="1" fontId="41" fillId="14" borderId="34" xfId="0" applyNumberFormat="1" applyFont="1" applyFill="1" applyBorder="1" applyAlignment="1">
      <alignment horizontal="center"/>
    </xf>
    <xf numFmtId="0" fontId="40" fillId="15" borderId="4" xfId="0" applyFont="1" applyFill="1" applyBorder="1" applyAlignment="1">
      <alignment horizontal="left"/>
    </xf>
    <xf numFmtId="164" fontId="26" fillId="15" borderId="10" xfId="0" applyNumberFormat="1" applyFont="1" applyFill="1" applyBorder="1" applyAlignment="1">
      <alignment horizontal="right"/>
    </xf>
    <xf numFmtId="164" fontId="27" fillId="14" borderId="42" xfId="0" applyNumberFormat="1" applyFont="1" applyFill="1" applyBorder="1" applyAlignment="1">
      <alignment horizontal="center"/>
    </xf>
    <xf numFmtId="164" fontId="27" fillId="14" borderId="43" xfId="0" applyNumberFormat="1" applyFont="1" applyFill="1" applyBorder="1" applyAlignment="1">
      <alignment horizontal="center"/>
    </xf>
    <xf numFmtId="164" fontId="27" fillId="14" borderId="44" xfId="0" applyNumberFormat="1" applyFont="1" applyFill="1" applyBorder="1" applyAlignment="1">
      <alignment horizontal="center"/>
    </xf>
    <xf numFmtId="0" fontId="26" fillId="15" borderId="7" xfId="0" applyFont="1" applyFill="1" applyBorder="1" applyAlignment="1">
      <alignment horizontal="right"/>
    </xf>
    <xf numFmtId="0" fontId="27" fillId="14" borderId="42" xfId="0" applyFont="1" applyFill="1" applyBorder="1"/>
    <xf numFmtId="0" fontId="30" fillId="14" borderId="43" xfId="0" applyFont="1" applyFill="1" applyBorder="1"/>
    <xf numFmtId="0" fontId="30" fillId="14" borderId="44" xfId="0" applyFont="1" applyFill="1" applyBorder="1"/>
    <xf numFmtId="164" fontId="26" fillId="15" borderId="7" xfId="0" applyNumberFormat="1" applyFont="1" applyFill="1" applyBorder="1" applyAlignment="1">
      <alignment horizontal="right"/>
    </xf>
    <xf numFmtId="164" fontId="27" fillId="14" borderId="25" xfId="0" applyNumberFormat="1" applyFont="1" applyFill="1" applyBorder="1" applyAlignment="1">
      <alignment horizontal="center"/>
    </xf>
    <xf numFmtId="164" fontId="27" fillId="14" borderId="45" xfId="0" applyNumberFormat="1" applyFont="1" applyFill="1" applyBorder="1" applyAlignment="1">
      <alignment horizontal="center"/>
    </xf>
    <xf numFmtId="164" fontId="27" fillId="14" borderId="46" xfId="0" applyNumberFormat="1" applyFont="1" applyFill="1" applyBorder="1" applyAlignment="1">
      <alignment horizontal="center"/>
    </xf>
    <xf numFmtId="0" fontId="27" fillId="14" borderId="25" xfId="0" applyFont="1" applyFill="1" applyBorder="1"/>
    <xf numFmtId="0" fontId="30" fillId="14" borderId="45" xfId="0" applyFont="1" applyFill="1" applyBorder="1"/>
    <xf numFmtId="0" fontId="30" fillId="14" borderId="46" xfId="0" applyFont="1" applyFill="1" applyBorder="1"/>
    <xf numFmtId="0" fontId="27" fillId="14" borderId="25" xfId="0" applyFont="1" applyFill="1" applyBorder="1" applyAlignment="1">
      <alignment horizontal="left"/>
    </xf>
    <xf numFmtId="0" fontId="27" fillId="14" borderId="14" xfId="0" applyFont="1" applyFill="1" applyBorder="1"/>
    <xf numFmtId="0" fontId="30" fillId="14" borderId="47" xfId="0" applyFont="1" applyFill="1" applyBorder="1"/>
    <xf numFmtId="0" fontId="30" fillId="14" borderId="16" xfId="0" applyFont="1" applyFill="1" applyBorder="1"/>
    <xf numFmtId="0" fontId="27" fillId="14" borderId="29" xfId="0" applyFont="1" applyFill="1" applyBorder="1"/>
    <xf numFmtId="0" fontId="30" fillId="14" borderId="48" xfId="0" applyFont="1" applyFill="1" applyBorder="1"/>
    <xf numFmtId="0" fontId="30" fillId="14" borderId="31" xfId="0" applyFont="1" applyFill="1" applyBorder="1"/>
    <xf numFmtId="0" fontId="27" fillId="15" borderId="7" xfId="0" applyFont="1" applyFill="1" applyBorder="1" applyAlignment="1">
      <alignment horizontal="right"/>
    </xf>
    <xf numFmtId="0" fontId="27" fillId="14" borderId="40" xfId="0" applyFont="1" applyFill="1" applyBorder="1"/>
    <xf numFmtId="0" fontId="30" fillId="14" borderId="41" xfId="0" applyFont="1" applyFill="1" applyBorder="1"/>
    <xf numFmtId="0" fontId="30" fillId="14" borderId="34" xfId="0" applyFont="1" applyFill="1" applyBorder="1"/>
    <xf numFmtId="0" fontId="27" fillId="15" borderId="40" xfId="0" applyFont="1" applyFill="1" applyBorder="1" applyAlignment="1">
      <alignment horizontal="right"/>
    </xf>
    <xf numFmtId="0" fontId="26" fillId="15" borderId="49" xfId="0" applyFont="1" applyFill="1" applyBorder="1" applyAlignment="1">
      <alignment horizontal="right"/>
    </xf>
    <xf numFmtId="0" fontId="27" fillId="14" borderId="43" xfId="0" applyFont="1" applyFill="1" applyBorder="1"/>
    <xf numFmtId="0" fontId="27" fillId="14" borderId="47" xfId="0" applyFont="1" applyFill="1" applyBorder="1"/>
    <xf numFmtId="0" fontId="26" fillId="15" borderId="50" xfId="0" applyFont="1" applyFill="1" applyBorder="1" applyAlignment="1">
      <alignment horizontal="right"/>
    </xf>
    <xf numFmtId="0" fontId="27" fillId="14" borderId="45" xfId="0" applyFont="1" applyFill="1" applyBorder="1"/>
    <xf numFmtId="0" fontId="26" fillId="15" borderId="51" xfId="0" applyFont="1" applyFill="1" applyBorder="1" applyAlignment="1">
      <alignment horizontal="right"/>
    </xf>
    <xf numFmtId="0" fontId="27" fillId="14" borderId="52" xfId="0" applyFont="1" applyFill="1" applyBorder="1"/>
    <xf numFmtId="0" fontId="30" fillId="14" borderId="52" xfId="0" applyFont="1" applyFill="1" applyBorder="1"/>
    <xf numFmtId="0" fontId="30" fillId="14" borderId="53" xfId="0" applyFont="1" applyFill="1" applyBorder="1"/>
    <xf numFmtId="0" fontId="47" fillId="15" borderId="40" xfId="0" applyFont="1" applyFill="1" applyBorder="1"/>
    <xf numFmtId="0" fontId="47" fillId="15" borderId="41" xfId="0" applyFont="1" applyFill="1" applyBorder="1"/>
    <xf numFmtId="0" fontId="48" fillId="15" borderId="41" xfId="0" applyFont="1" applyFill="1" applyBorder="1"/>
    <xf numFmtId="0" fontId="48" fillId="15" borderId="6" xfId="0" applyFont="1" applyFill="1" applyBorder="1"/>
    <xf numFmtId="0" fontId="27" fillId="15" borderId="6" xfId="0" applyFont="1" applyFill="1" applyBorder="1" applyAlignment="1">
      <alignment horizontal="center"/>
    </xf>
    <xf numFmtId="0" fontId="27" fillId="15" borderId="5" xfId="0" applyFont="1" applyFill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30" fillId="0" borderId="6" xfId="0" applyFont="1" applyBorder="1"/>
    <xf numFmtId="0" fontId="26" fillId="15" borderId="6" xfId="0" applyFont="1" applyFill="1" applyBorder="1" applyAlignment="1">
      <alignment horizontal="center"/>
    </xf>
    <xf numFmtId="0" fontId="26" fillId="15" borderId="5" xfId="0" applyFont="1" applyFill="1" applyBorder="1" applyAlignment="1">
      <alignment horizontal="center"/>
    </xf>
    <xf numFmtId="0" fontId="49" fillId="0" borderId="0" xfId="0" applyFont="1"/>
    <xf numFmtId="0" fontId="27" fillId="16" borderId="7" xfId="0" applyFont="1" applyFill="1" applyBorder="1" applyAlignment="1">
      <alignment horizontal="center"/>
    </xf>
    <xf numFmtId="0" fontId="27" fillId="16" borderId="0" xfId="0" applyFont="1" applyFill="1" applyAlignment="1">
      <alignment horizontal="left"/>
    </xf>
    <xf numFmtId="0" fontId="27" fillId="16" borderId="0" xfId="0" applyFont="1" applyFill="1" applyAlignment="1">
      <alignment horizontal="center"/>
    </xf>
    <xf numFmtId="0" fontId="27" fillId="14" borderId="17" xfId="0" applyFont="1" applyFill="1" applyBorder="1" applyAlignment="1">
      <alignment horizontal="center"/>
    </xf>
    <xf numFmtId="0" fontId="27" fillId="17" borderId="7" xfId="0" applyFont="1" applyFill="1" applyBorder="1" applyAlignment="1">
      <alignment horizontal="center"/>
    </xf>
    <xf numFmtId="0" fontId="27" fillId="17" borderId="0" xfId="0" applyFont="1" applyFill="1" applyAlignment="1">
      <alignment horizontal="left"/>
    </xf>
    <xf numFmtId="0" fontId="27" fillId="17" borderId="0" xfId="0" applyFont="1" applyFill="1" applyAlignment="1">
      <alignment horizontal="center"/>
    </xf>
    <xf numFmtId="0" fontId="27" fillId="18" borderId="7" xfId="0" applyFont="1" applyFill="1" applyBorder="1" applyAlignment="1">
      <alignment horizontal="center"/>
    </xf>
    <xf numFmtId="0" fontId="27" fillId="18" borderId="0" xfId="0" applyFont="1" applyFill="1" applyAlignment="1">
      <alignment horizontal="left"/>
    </xf>
    <xf numFmtId="0" fontId="27" fillId="18" borderId="0" xfId="0" applyFont="1" applyFill="1" applyAlignment="1">
      <alignment horizontal="center"/>
    </xf>
    <xf numFmtId="0" fontId="27" fillId="19" borderId="7" xfId="0" applyFont="1" applyFill="1" applyBorder="1" applyAlignment="1">
      <alignment horizontal="center"/>
    </xf>
    <xf numFmtId="0" fontId="27" fillId="19" borderId="0" xfId="0" applyFont="1" applyFill="1" applyAlignment="1">
      <alignment horizontal="left"/>
    </xf>
    <xf numFmtId="0" fontId="27" fillId="19" borderId="0" xfId="0" applyFont="1" applyFill="1" applyAlignment="1">
      <alignment horizontal="center"/>
    </xf>
    <xf numFmtId="0" fontId="27" fillId="20" borderId="7" xfId="0" applyFont="1" applyFill="1" applyBorder="1" applyAlignment="1">
      <alignment horizontal="center"/>
    </xf>
    <xf numFmtId="164" fontId="27" fillId="20" borderId="0" xfId="3" applyNumberFormat="1" applyFont="1" applyFill="1" applyAlignment="1">
      <alignment horizontal="left"/>
    </xf>
    <xf numFmtId="0" fontId="27" fillId="20" borderId="0" xfId="0" applyFont="1" applyFill="1" applyAlignment="1">
      <alignment horizontal="center"/>
    </xf>
    <xf numFmtId="0" fontId="27" fillId="21" borderId="40" xfId="0" applyFont="1" applyFill="1" applyBorder="1" applyAlignment="1">
      <alignment horizontal="center"/>
    </xf>
    <xf numFmtId="0" fontId="27" fillId="21" borderId="41" xfId="0" applyFont="1" applyFill="1" applyBorder="1" applyAlignment="1">
      <alignment horizontal="left"/>
    </xf>
    <xf numFmtId="0" fontId="27" fillId="21" borderId="41" xfId="0" applyFont="1" applyFill="1" applyBorder="1" applyAlignment="1">
      <alignment horizontal="center"/>
    </xf>
    <xf numFmtId="0" fontId="27" fillId="14" borderId="41" xfId="0" applyFont="1" applyFill="1" applyBorder="1" applyAlignment="1">
      <alignment horizontal="center"/>
    </xf>
    <xf numFmtId="0" fontId="27" fillId="14" borderId="34" xfId="0" applyFont="1" applyFill="1" applyBorder="1" applyAlignment="1">
      <alignment horizontal="center"/>
    </xf>
    <xf numFmtId="0" fontId="27" fillId="0" borderId="0" xfId="0" applyFont="1" applyAlignment="1">
      <alignment horizontal="left"/>
    </xf>
    <xf numFmtId="0" fontId="27" fillId="0" borderId="41" xfId="0" applyFont="1" applyBorder="1" applyAlignment="1">
      <alignment horizontal="center"/>
    </xf>
    <xf numFmtId="0" fontId="40" fillId="15" borderId="6" xfId="0" applyFont="1" applyFill="1" applyBorder="1" applyAlignment="1">
      <alignment horizontal="center"/>
    </xf>
    <xf numFmtId="0" fontId="40" fillId="15" borderId="5" xfId="0" applyFont="1" applyFill="1" applyBorder="1" applyAlignment="1">
      <alignment horizontal="center"/>
    </xf>
    <xf numFmtId="0" fontId="27" fillId="14" borderId="10" xfId="0" applyFont="1" applyFill="1" applyBorder="1"/>
    <xf numFmtId="0" fontId="27" fillId="14" borderId="13" xfId="3" quotePrefix="1" applyFont="1" applyFill="1" applyBorder="1"/>
    <xf numFmtId="164" fontId="27" fillId="14" borderId="13" xfId="3" quotePrefix="1" applyNumberFormat="1" applyFont="1" applyFill="1" applyBorder="1" applyAlignment="1">
      <alignment horizontal="center"/>
    </xf>
    <xf numFmtId="1" fontId="27" fillId="16" borderId="13" xfId="3" quotePrefix="1" applyNumberFormat="1" applyFont="1" applyFill="1" applyBorder="1" applyAlignment="1">
      <alignment horizontal="center"/>
    </xf>
    <xf numFmtId="164" fontId="27" fillId="14" borderId="13" xfId="3" applyNumberFormat="1" applyFont="1" applyFill="1" applyBorder="1" applyAlignment="1">
      <alignment horizontal="center"/>
    </xf>
    <xf numFmtId="164" fontId="27" fillId="16" borderId="13" xfId="3" applyNumberFormat="1" applyFont="1" applyFill="1" applyBorder="1" applyAlignment="1">
      <alignment horizontal="center"/>
    </xf>
    <xf numFmtId="0" fontId="27" fillId="14" borderId="13" xfId="0" applyFont="1" applyFill="1" applyBorder="1" applyAlignment="1">
      <alignment horizontal="center"/>
    </xf>
    <xf numFmtId="0" fontId="27" fillId="14" borderId="9" xfId="0" applyFont="1" applyFill="1" applyBorder="1" applyAlignment="1">
      <alignment horizontal="center"/>
    </xf>
    <xf numFmtId="0" fontId="27" fillId="14" borderId="7" xfId="0" applyFont="1" applyFill="1" applyBorder="1"/>
    <xf numFmtId="0" fontId="27" fillId="14" borderId="0" xfId="3" quotePrefix="1" applyFont="1" applyFill="1"/>
    <xf numFmtId="164" fontId="27" fillId="14" borderId="0" xfId="3" quotePrefix="1" applyNumberFormat="1" applyFont="1" applyFill="1" applyAlignment="1">
      <alignment horizontal="center"/>
    </xf>
    <xf numFmtId="1" fontId="27" fillId="16" borderId="0" xfId="3" quotePrefix="1" applyNumberFormat="1" applyFont="1" applyFill="1" applyAlignment="1">
      <alignment horizontal="center"/>
    </xf>
    <xf numFmtId="164" fontId="27" fillId="14" borderId="0" xfId="3" applyNumberFormat="1" applyFont="1" applyFill="1" applyAlignment="1">
      <alignment horizontal="center"/>
    </xf>
    <xf numFmtId="164" fontId="27" fillId="16" borderId="0" xfId="3" applyNumberFormat="1" applyFont="1" applyFill="1" applyAlignment="1">
      <alignment horizontal="center"/>
    </xf>
    <xf numFmtId="1" fontId="27" fillId="22" borderId="0" xfId="3" quotePrefix="1" applyNumberFormat="1" applyFont="1" applyFill="1" applyAlignment="1">
      <alignment horizontal="center"/>
    </xf>
    <xf numFmtId="164" fontId="27" fillId="22" borderId="0" xfId="3" applyNumberFormat="1" applyFont="1" applyFill="1" applyAlignment="1">
      <alignment horizontal="center"/>
    </xf>
    <xf numFmtId="1" fontId="27" fillId="14" borderId="0" xfId="3" quotePrefix="1" applyNumberFormat="1" applyFont="1" applyFill="1" applyAlignment="1">
      <alignment horizontal="center"/>
    </xf>
    <xf numFmtId="0" fontId="27" fillId="14" borderId="41" xfId="4" quotePrefix="1" applyFont="1" applyFill="1" applyBorder="1"/>
    <xf numFmtId="164" fontId="27" fillId="14" borderId="41" xfId="5" applyNumberFormat="1" applyFont="1" applyFill="1" applyBorder="1" applyAlignment="1">
      <alignment horizontal="center"/>
    </xf>
    <xf numFmtId="164" fontId="27" fillId="14" borderId="41" xfId="5" quotePrefix="1" applyNumberFormat="1" applyFont="1" applyFill="1" applyBorder="1" applyAlignment="1">
      <alignment horizontal="center"/>
    </xf>
    <xf numFmtId="0" fontId="30" fillId="0" borderId="0" xfId="0" applyFont="1"/>
    <xf numFmtId="0" fontId="52" fillId="0" borderId="0" xfId="0" applyFont="1"/>
    <xf numFmtId="0" fontId="53" fillId="0" borderId="0" xfId="0" applyFont="1"/>
    <xf numFmtId="164" fontId="51" fillId="0" borderId="0" xfId="0" applyNumberFormat="1" applyFont="1"/>
    <xf numFmtId="2" fontId="54" fillId="16" borderId="0" xfId="0" applyNumberFormat="1" applyFont="1" applyFill="1"/>
    <xf numFmtId="0" fontId="54" fillId="16" borderId="0" xfId="0" applyFont="1" applyFill="1"/>
    <xf numFmtId="0" fontId="55" fillId="0" borderId="0" xfId="0" applyFont="1"/>
    <xf numFmtId="166" fontId="0" fillId="10" borderId="0" xfId="0" applyNumberFormat="1" applyFill="1"/>
    <xf numFmtId="0" fontId="28" fillId="14" borderId="3" xfId="0" applyFont="1" applyFill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165" fontId="32" fillId="15" borderId="4" xfId="0" applyNumberFormat="1" applyFont="1" applyFill="1" applyBorder="1" applyAlignment="1">
      <alignment horizontal="center"/>
    </xf>
    <xf numFmtId="0" fontId="33" fillId="15" borderId="5" xfId="0" applyFont="1" applyFill="1" applyBorder="1"/>
    <xf numFmtId="2" fontId="41" fillId="14" borderId="8" xfId="0" applyNumberFormat="1" applyFont="1" applyFill="1" applyBorder="1" applyAlignment="1">
      <alignment horizontal="center"/>
    </xf>
    <xf numFmtId="2" fontId="41" fillId="14" borderId="9" xfId="0" applyNumberFormat="1" applyFont="1" applyFill="1" applyBorder="1" applyAlignment="1">
      <alignment horizontal="center"/>
    </xf>
    <xf numFmtId="2" fontId="41" fillId="14" borderId="10" xfId="0" applyNumberFormat="1" applyFont="1" applyFill="1" applyBorder="1" applyAlignment="1">
      <alignment horizontal="center"/>
    </xf>
    <xf numFmtId="2" fontId="41" fillId="14" borderId="15" xfId="0" applyNumberFormat="1" applyFont="1" applyFill="1" applyBorder="1" applyAlignment="1">
      <alignment horizontal="center"/>
    </xf>
    <xf numFmtId="2" fontId="41" fillId="14" borderId="16" xfId="0" applyNumberFormat="1" applyFont="1" applyFill="1" applyBorder="1" applyAlignment="1">
      <alignment horizontal="center"/>
    </xf>
    <xf numFmtId="2" fontId="41" fillId="14" borderId="7" xfId="0" applyNumberFormat="1" applyFont="1" applyFill="1" applyBorder="1" applyAlignment="1">
      <alignment horizontal="center"/>
    </xf>
    <xf numFmtId="2" fontId="41" fillId="14" borderId="17" xfId="0" applyNumberFormat="1" applyFont="1" applyFill="1" applyBorder="1" applyAlignment="1">
      <alignment horizontal="center"/>
    </xf>
    <xf numFmtId="164" fontId="27" fillId="14" borderId="21" xfId="0" applyNumberFormat="1" applyFont="1" applyFill="1" applyBorder="1" applyAlignment="1">
      <alignment horizontal="center"/>
    </xf>
    <xf numFmtId="164" fontId="27" fillId="14" borderId="22" xfId="0" applyNumberFormat="1" applyFont="1" applyFill="1" applyBorder="1" applyAlignment="1">
      <alignment horizontal="center"/>
    </xf>
    <xf numFmtId="164" fontId="27" fillId="14" borderId="23" xfId="0" applyNumberFormat="1" applyFont="1" applyFill="1" applyBorder="1" applyAlignment="1">
      <alignment horizontal="center"/>
    </xf>
    <xf numFmtId="164" fontId="27" fillId="14" borderId="24" xfId="0" applyNumberFormat="1" applyFont="1" applyFill="1" applyBorder="1" applyAlignment="1">
      <alignment horizontal="center"/>
    </xf>
    <xf numFmtId="1" fontId="27" fillId="14" borderId="27" xfId="0" applyNumberFormat="1" applyFont="1" applyFill="1" applyBorder="1" applyAlignment="1">
      <alignment horizontal="center"/>
    </xf>
    <xf numFmtId="1" fontId="27" fillId="14" borderId="28" xfId="0" applyNumberFormat="1" applyFont="1" applyFill="1" applyBorder="1" applyAlignment="1">
      <alignment horizontal="center"/>
    </xf>
    <xf numFmtId="2" fontId="41" fillId="14" borderId="30" xfId="0" applyNumberFormat="1" applyFont="1" applyFill="1" applyBorder="1" applyAlignment="1">
      <alignment horizontal="center"/>
    </xf>
    <xf numFmtId="2" fontId="41" fillId="14" borderId="31" xfId="0" applyNumberFormat="1" applyFont="1" applyFill="1" applyBorder="1" applyAlignment="1">
      <alignment horizontal="center"/>
    </xf>
    <xf numFmtId="164" fontId="27" fillId="14" borderId="40" xfId="0" applyNumberFormat="1" applyFont="1" applyFill="1" applyBorder="1" applyAlignment="1">
      <alignment horizontal="center"/>
    </xf>
    <xf numFmtId="164" fontId="30" fillId="14" borderId="41" xfId="0" applyNumberFormat="1" applyFont="1" applyFill="1" applyBorder="1" applyAlignment="1">
      <alignment horizontal="center"/>
    </xf>
    <xf numFmtId="164" fontId="27" fillId="14" borderId="41" xfId="0" applyNumberFormat="1" applyFont="1" applyFill="1" applyBorder="1" applyAlignment="1">
      <alignment horizontal="center"/>
    </xf>
    <xf numFmtId="0" fontId="40" fillId="15" borderId="4" xfId="0" applyFont="1" applyFill="1" applyBorder="1" applyAlignment="1">
      <alignment horizontal="left"/>
    </xf>
    <xf numFmtId="0" fontId="46" fillId="0" borderId="6" xfId="0" applyFont="1" applyBorder="1" applyAlignment="1">
      <alignment horizontal="left"/>
    </xf>
    <xf numFmtId="0" fontId="46" fillId="0" borderId="5" xfId="0" applyFont="1" applyBorder="1" applyAlignment="1">
      <alignment horizontal="left"/>
    </xf>
    <xf numFmtId="0" fontId="40" fillId="15" borderId="40" xfId="0" applyFont="1" applyFill="1" applyBorder="1" applyAlignment="1">
      <alignment horizontal="left"/>
    </xf>
    <xf numFmtId="0" fontId="46" fillId="0" borderId="41" xfId="0" applyFont="1" applyBorder="1" applyAlignment="1">
      <alignment horizontal="left"/>
    </xf>
    <xf numFmtId="164" fontId="30" fillId="14" borderId="22" xfId="0" applyNumberFormat="1" applyFont="1" applyFill="1" applyBorder="1" applyAlignment="1">
      <alignment horizontal="center"/>
    </xf>
    <xf numFmtId="164" fontId="30" fillId="14" borderId="24" xfId="0" applyNumberFormat="1" applyFont="1" applyFill="1" applyBorder="1" applyAlignment="1">
      <alignment horizontal="center"/>
    </xf>
    <xf numFmtId="1" fontId="27" fillId="14" borderId="36" xfId="0" applyNumberFormat="1" applyFont="1" applyFill="1" applyBorder="1" applyAlignment="1">
      <alignment horizontal="center"/>
    </xf>
    <xf numFmtId="1" fontId="30" fillId="14" borderId="37" xfId="0" applyNumberFormat="1" applyFont="1" applyFill="1" applyBorder="1" applyAlignment="1">
      <alignment horizontal="center"/>
    </xf>
    <xf numFmtId="164" fontId="27" fillId="14" borderId="38" xfId="0" applyNumberFormat="1" applyFont="1" applyFill="1" applyBorder="1" applyAlignment="1">
      <alignment horizontal="center"/>
    </xf>
    <xf numFmtId="164" fontId="30" fillId="14" borderId="39" xfId="0" applyNumberFormat="1" applyFont="1" applyFill="1" applyBorder="1" applyAlignment="1">
      <alignment horizontal="center"/>
    </xf>
  </cellXfs>
  <cellStyles count="6">
    <cellStyle name="Heading 1" xfId="1" builtinId="16"/>
    <cellStyle name="Normal" xfId="0" builtinId="0"/>
    <cellStyle name="Normal_2011-249 Run 2 Newsome" xfId="5" xr:uid="{5B7C8443-FE55-C24E-A989-7D107B234C79}"/>
    <cellStyle name="Normal_2012-033 run 2 newsome" xfId="4" xr:uid="{B32C44F0-B562-5A44-A6CD-F37FCA0C4DE5}"/>
    <cellStyle name="Normal_2012-033 Run 4 Newsome" xfId="3" xr:uid="{8DD4EDCF-E59E-0E42-A9CA-3296FC1EA232}"/>
    <cellStyle name="Normal_Info1" xfId="2" xr:uid="{08E01E85-74B9-5A40-A94C-8599A8952A45}"/>
  </cellStyles>
  <dxfs count="0"/>
  <tableStyles count="0" defaultTableStyle="TableStyleMedium2" defaultPivotStyle="PivotStyleLight16"/>
  <colors>
    <mruColors>
      <color rgb="FFB56BCA"/>
      <color rgb="FFE087FC"/>
      <color rgb="FFA229D2"/>
      <color rgb="FF63197F"/>
      <color rgb="FFE4A1FF"/>
      <color rgb="FFB830EC"/>
      <color rgb="FFD900F3"/>
      <color rgb="FFAAF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040868913550079E-2"/>
          <c:y val="6.2843162461835134E-2"/>
          <c:w val="0.85254193132921585"/>
          <c:h val="0.87823147629558862"/>
        </c:manualLayout>
      </c:layout>
      <c:scatterChart>
        <c:scatterStyle val="lineMarker"/>
        <c:varyColors val="0"/>
        <c:ser>
          <c:idx val="0"/>
          <c:order val="0"/>
          <c:tx>
            <c:v>HB2 pyrene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63197F"/>
              </a:solidFill>
              <a:ln w="9525">
                <a:noFill/>
              </a:ln>
              <a:effectLst/>
            </c:spPr>
          </c:marker>
          <c:xVal>
            <c:numRef>
              <c:f>'2x13C plots - FINAL'!$D$40</c:f>
              <c:numCache>
                <c:formatCode>General</c:formatCode>
                <c:ptCount val="1"/>
                <c:pt idx="0">
                  <c:v>-23.633026104479924</c:v>
                </c:pt>
              </c:numCache>
            </c:numRef>
          </c:xVal>
          <c:yVal>
            <c:numRef>
              <c:f>'2x13C plots - FINAL'!$F$40</c:f>
              <c:numCache>
                <c:formatCode>General</c:formatCode>
                <c:ptCount val="1"/>
                <c:pt idx="0">
                  <c:v>1.2420586462036415E-2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55-3644-B23F-E7C7242037EA}"/>
            </c:ext>
          </c:extLst>
        </c:ser>
        <c:ser>
          <c:idx val="2"/>
          <c:order val="1"/>
          <c:tx>
            <c:v>HB2 fluoranthene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B56BCA"/>
              </a:solidFill>
              <a:ln w="9525">
                <a:noFill/>
              </a:ln>
              <a:effectLst/>
            </c:spPr>
          </c:marker>
          <c:xVal>
            <c:numRef>
              <c:f>'2x13C plots - FINAL'!$D$39</c:f>
              <c:numCache>
                <c:formatCode>General</c:formatCode>
                <c:ptCount val="1"/>
                <c:pt idx="0">
                  <c:v>-17.106026968804812</c:v>
                </c:pt>
              </c:numCache>
            </c:numRef>
          </c:xVal>
          <c:yVal>
            <c:numRef>
              <c:f>'2x13C plots - FINAL'!$F$39</c:f>
              <c:numCache>
                <c:formatCode>General</c:formatCode>
                <c:ptCount val="1"/>
                <c:pt idx="0">
                  <c:v>1.253037790718772E-2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55-3644-B23F-E7C7242037EA}"/>
            </c:ext>
          </c:extLst>
        </c:ser>
        <c:ser>
          <c:idx val="3"/>
          <c:order val="2"/>
          <c:tx>
            <c:v>Terrestrial fluoranthene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'2x13C plots - FINAL'!$B$31</c:f>
              <c:numCache>
                <c:formatCode>General</c:formatCode>
                <c:ptCount val="1"/>
                <c:pt idx="0">
                  <c:v>-24.2</c:v>
                </c:pt>
              </c:numCache>
            </c:numRef>
          </c:xVal>
          <c:yVal>
            <c:numRef>
              <c:f>'2x13C plots - FINAL'!$D$31</c:f>
              <c:numCache>
                <c:formatCode>General</c:formatCode>
                <c:ptCount val="1"/>
                <c:pt idx="0">
                  <c:v>1.2243663544170075E-2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55-3644-B23F-E7C7242037EA}"/>
            </c:ext>
          </c:extLst>
        </c:ser>
        <c:ser>
          <c:idx val="4"/>
          <c:order val="3"/>
          <c:tx>
            <c:v>Terrestrial fractionation 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'2x13C plots - FINAL'!$A$10:$A$20</c:f>
              <c:numCache>
                <c:formatCode>General</c:formatCode>
                <c:ptCount val="11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  <c:pt idx="5">
                  <c:v>-24</c:v>
                </c:pt>
                <c:pt idx="6">
                  <c:v>-25</c:v>
                </c:pt>
                <c:pt idx="7">
                  <c:v>-25.2</c:v>
                </c:pt>
                <c:pt idx="8">
                  <c:v>-30</c:v>
                </c:pt>
                <c:pt idx="9">
                  <c:v>-3.92</c:v>
                </c:pt>
                <c:pt idx="10">
                  <c:v>-11.81</c:v>
                </c:pt>
              </c:numCache>
            </c:numRef>
          </c:xVal>
          <c:yVal>
            <c:numRef>
              <c:f>'2x13C plots - FINAL'!$I$10:$I$20</c:f>
              <c:numCache>
                <c:formatCode>General</c:formatCode>
                <c:ptCount val="11"/>
                <c:pt idx="0">
                  <c:v>1.2853214383072926E-2</c:v>
                </c:pt>
                <c:pt idx="1">
                  <c:v>1.2725003569601774E-2</c:v>
                </c:pt>
                <c:pt idx="2">
                  <c:v>1.2597435416849777E-2</c:v>
                </c:pt>
                <c:pt idx="3">
                  <c:v>1.2470509924816931E-2</c:v>
                </c:pt>
                <c:pt idx="4">
                  <c:v>1.2344227093503239E-2</c:v>
                </c:pt>
                <c:pt idx="5">
                  <c:v>1.2243663544170075E-2</c:v>
                </c:pt>
                <c:pt idx="6">
                  <c:v>1.2218586922908701E-2</c:v>
                </c:pt>
                <c:pt idx="7">
                  <c:v>1.221357468342788E-2</c:v>
                </c:pt>
                <c:pt idx="8">
                  <c:v>1.2093589413033319E-2</c:v>
                </c:pt>
                <c:pt idx="9">
                  <c:v>1.2752642689943135E-2</c:v>
                </c:pt>
                <c:pt idx="10">
                  <c:v>1.2551414175559359E-2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55-3644-B23F-E7C7242037EA}"/>
            </c:ext>
          </c:extLst>
        </c:ser>
        <c:ser>
          <c:idx val="1"/>
          <c:order val="4"/>
          <c:tx>
            <c:v>Terrestrial pyrene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'2x13C plots - FINAL'!$B$32</c:f>
              <c:numCache>
                <c:formatCode>General</c:formatCode>
                <c:ptCount val="1"/>
                <c:pt idx="0">
                  <c:v>-25.2</c:v>
                </c:pt>
              </c:numCache>
            </c:numRef>
          </c:xVal>
          <c:yVal>
            <c:numRef>
              <c:f>'2x13C plots - FINAL'!$D$32</c:f>
              <c:numCache>
                <c:formatCode>General</c:formatCode>
                <c:ptCount val="1"/>
                <c:pt idx="0">
                  <c:v>1.2244172031591444E-2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55-3644-B23F-E7C724203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58399"/>
        <c:axId val="1883900063"/>
      </c:scatterChart>
      <c:valAx>
        <c:axId val="183415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layout>
            <c:manualLayout>
              <c:xMode val="edge"/>
              <c:yMode val="edge"/>
              <c:x val="0.47946945525861312"/>
              <c:y val="0.898847560372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883900063"/>
        <c:crossesAt val="1.1800000000000003E-2"/>
        <c:crossBetween val="midCat"/>
        <c:majorUnit val="5"/>
      </c:valAx>
      <c:valAx>
        <c:axId val="18839000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13C212C14/12C16</a:t>
                </a:r>
              </a:p>
            </c:rich>
          </c:tx>
          <c:layout>
            <c:manualLayout>
              <c:xMode val="edge"/>
              <c:yMode val="edge"/>
              <c:x val="0.18155956562361342"/>
              <c:y val="0.29406372654964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834158399"/>
        <c:crossesAt val="-30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ayout>
        <c:manualLayout>
          <c:xMode val="edge"/>
          <c:yMode val="edge"/>
          <c:x val="0.63235850896734391"/>
          <c:y val="0.57274112164550861"/>
          <c:w val="0.35717950149848288"/>
          <c:h val="0.3209327680193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phenanthrene and anthrace</a:t>
            </a:r>
            <a:r>
              <a:rPr lang="en-US" baseline="0"/>
              <a:t>ne</a:t>
            </a:r>
          </a:p>
        </c:rich>
      </c:tx>
      <c:layout>
        <c:manualLayout>
          <c:xMode val="edge"/>
          <c:yMode val="edge"/>
          <c:x val="0.23214366021386942"/>
          <c:y val="2.0907376579923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823802440751821E-2"/>
          <c:y val="6.2843227672362445E-2"/>
          <c:w val="0.85254193132921585"/>
          <c:h val="0.87823147629558862"/>
        </c:manualLayout>
      </c:layout>
      <c:scatterChart>
        <c:scatterStyle val="lineMarker"/>
        <c:varyColors val="0"/>
        <c:ser>
          <c:idx val="0"/>
          <c:order val="0"/>
          <c:tx>
            <c:v>HB2 phenanthrene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'2x13C plots - v1'!$D$35</c:f>
              <c:numCache>
                <c:formatCode>General</c:formatCode>
                <c:ptCount val="1"/>
                <c:pt idx="0">
                  <c:v>-12.644453810510715</c:v>
                </c:pt>
              </c:numCache>
            </c:numRef>
          </c:xVal>
          <c:yVal>
            <c:numRef>
              <c:f>'2x13C plots - v1'!$H$35</c:f>
              <c:numCache>
                <c:formatCode>General</c:formatCode>
                <c:ptCount val="1"/>
                <c:pt idx="0">
                  <c:v>9.9474919763632881E-3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D-7440-BC89-6204A385B732}"/>
            </c:ext>
          </c:extLst>
        </c:ser>
        <c:ser>
          <c:idx val="2"/>
          <c:order val="1"/>
          <c:tx>
            <c:v>HB2 anthracene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'2x13C plots - v1'!$D$36</c:f>
              <c:numCache>
                <c:formatCode>General</c:formatCode>
                <c:ptCount val="1"/>
                <c:pt idx="0">
                  <c:v>-16.713071237317468</c:v>
                </c:pt>
              </c:numCache>
            </c:numRef>
          </c:xVal>
          <c:yVal>
            <c:numRef>
              <c:f>'2x13C plots - v1'!$H$36</c:f>
              <c:numCache>
                <c:formatCode>General</c:formatCode>
                <c:ptCount val="1"/>
                <c:pt idx="0">
                  <c:v>9.8029124096156682E-3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D-7440-BC89-6204A385B732}"/>
            </c:ext>
          </c:extLst>
        </c:ser>
        <c:ser>
          <c:idx val="3"/>
          <c:order val="2"/>
          <c:tx>
            <c:v>Terrestrial anthracene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'2x13C plots - v1'!$B$28</c:f>
              <c:numCache>
                <c:formatCode>General</c:formatCode>
                <c:ptCount val="1"/>
                <c:pt idx="0">
                  <c:v>-24.1</c:v>
                </c:pt>
              </c:numCache>
            </c:numRef>
          </c:xVal>
          <c:yVal>
            <c:numRef>
              <c:f>'2x13C plots - v1'!$G$28</c:f>
              <c:numCache>
                <c:formatCode>General</c:formatCode>
                <c:ptCount val="1"/>
                <c:pt idx="0">
                  <c:v>9.7004838923684302E-3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D-7440-BC89-6204A385B732}"/>
            </c:ext>
          </c:extLst>
        </c:ser>
        <c:ser>
          <c:idx val="4"/>
          <c:order val="3"/>
          <c:tx>
            <c:v>Terrestrial fractionation 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'2x13C plots - v1'!$A$10:$A$20</c:f>
              <c:numCache>
                <c:formatCode>General</c:formatCode>
                <c:ptCount val="11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  <c:pt idx="5">
                  <c:v>-24</c:v>
                </c:pt>
                <c:pt idx="6">
                  <c:v>-25</c:v>
                </c:pt>
                <c:pt idx="7">
                  <c:v>-25.2</c:v>
                </c:pt>
                <c:pt idx="8">
                  <c:v>-30</c:v>
                </c:pt>
                <c:pt idx="9">
                  <c:v>-3.92</c:v>
                </c:pt>
                <c:pt idx="10">
                  <c:v>-11.81</c:v>
                </c:pt>
              </c:numCache>
            </c:numRef>
          </c:xVal>
          <c:yVal>
            <c:numRef>
              <c:f>'2x13C plots - v1'!$K$10:$K$20</c:f>
              <c:numCache>
                <c:formatCode>General</c:formatCode>
                <c:ptCount val="11"/>
                <c:pt idx="0">
                  <c:v>1.0147777093712243E-2</c:v>
                </c:pt>
                <c:pt idx="1">
                  <c:v>1.0053894087297271E-2</c:v>
                </c:pt>
                <c:pt idx="2">
                  <c:v>9.9603770004868929E-3</c:v>
                </c:pt>
                <c:pt idx="3">
                  <c:v>9.8672267774389585E-3</c:v>
                </c:pt>
                <c:pt idx="4">
                  <c:v>9.7744443638728227E-3</c:v>
                </c:pt>
                <c:pt idx="5">
                  <c:v>9.7004838923684302E-3</c:v>
                </c:pt>
                <c:pt idx="6">
                  <c:v>9.6820307070715362E-3</c:v>
                </c:pt>
                <c:pt idx="7">
                  <c:v>9.6783418443554016E-3</c:v>
                </c:pt>
                <c:pt idx="8">
                  <c:v>9.5899867558841556E-3</c:v>
                </c:pt>
                <c:pt idx="9">
                  <c:v>1.0074141865912342E-2</c:v>
                </c:pt>
                <c:pt idx="10">
                  <c:v>9.9266142055022839E-3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8D-7440-BC89-6204A385B732}"/>
            </c:ext>
          </c:extLst>
        </c:ser>
        <c:ser>
          <c:idx val="1"/>
          <c:order val="4"/>
          <c:tx>
            <c:v>Terrestrial phenanthrene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'2x13C plots - v1'!$B$27</c:f>
              <c:numCache>
                <c:formatCode>General</c:formatCode>
                <c:ptCount val="1"/>
                <c:pt idx="0">
                  <c:v>-24.4</c:v>
                </c:pt>
              </c:numCache>
            </c:numRef>
          </c:xVal>
          <c:yVal>
            <c:numRef>
              <c:f>'2x13C plots - v1'!$G$27</c:f>
              <c:numCache>
                <c:formatCode>General</c:formatCode>
                <c:ptCount val="1"/>
                <c:pt idx="0">
                  <c:v>9.7004838923684302E-3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98D-7440-BC89-6204A385B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58399"/>
        <c:axId val="1883900063"/>
      </c:scatterChart>
      <c:valAx>
        <c:axId val="183415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layout>
            <c:manualLayout>
              <c:xMode val="edge"/>
              <c:yMode val="edge"/>
              <c:x val="0.47030683153184888"/>
              <c:y val="0.85694176575304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900063"/>
        <c:crossesAt val="0"/>
        <c:crossBetween val="midCat"/>
        <c:majorUnit val="5"/>
      </c:valAx>
      <c:valAx>
        <c:axId val="1883900063"/>
        <c:scaling>
          <c:orientation val="minMax"/>
          <c:max val="1.1000000000000003E-2"/>
          <c:min val="9.0000000000000028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13C212C12/12C14</a:t>
                </a:r>
              </a:p>
            </c:rich>
          </c:tx>
          <c:layout>
            <c:manualLayout>
              <c:xMode val="edge"/>
              <c:yMode val="edge"/>
              <c:x val="0.16323408635341"/>
              <c:y val="0.33177896822581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58399"/>
        <c:crossesAt val="-30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ayout>
        <c:manualLayout>
          <c:xMode val="edge"/>
          <c:yMode val="edge"/>
          <c:x val="0.54073102308842047"/>
          <c:y val="0.61045632802691208"/>
          <c:w val="0.44880685978964185"/>
          <c:h val="0.29578912461373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napthalene</a:t>
            </a:r>
            <a:endParaRPr lang="en-US" baseline="0"/>
          </a:p>
        </c:rich>
      </c:tx>
      <c:layout>
        <c:manualLayout>
          <c:xMode val="edge"/>
          <c:yMode val="edge"/>
          <c:x val="0.44104094647745695"/>
          <c:y val="4.1738920480454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823709849474884E-2"/>
          <c:y val="2.3562604435528062E-2"/>
          <c:w val="0.85254193132921585"/>
          <c:h val="0.87823147629558862"/>
        </c:manualLayout>
      </c:layout>
      <c:scatterChart>
        <c:scatterStyle val="lineMarker"/>
        <c:varyColors val="0"/>
        <c:ser>
          <c:idx val="2"/>
          <c:order val="0"/>
          <c:tx>
            <c:v>HB2 napthalene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'2x13C plots - v1'!$D$34</c:f>
              <c:numCache>
                <c:formatCode>General</c:formatCode>
                <c:ptCount val="1"/>
                <c:pt idx="0">
                  <c:v>-20.352243148830993</c:v>
                </c:pt>
              </c:numCache>
            </c:numRef>
          </c:xVal>
          <c:yVal>
            <c:numRef>
              <c:f>'2x13C plots - v1'!$H$34</c:f>
              <c:numCache>
                <c:formatCode>General</c:formatCode>
                <c:ptCount val="1"/>
                <c:pt idx="0">
                  <c:v>5.3027082583757571E-3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33-4344-A48B-CAE4299D6B17}"/>
            </c:ext>
          </c:extLst>
        </c:ser>
        <c:ser>
          <c:idx val="3"/>
          <c:order val="1"/>
          <c:tx>
            <c:v>Terrestrial napthalene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'2x13C plots - v1'!$B$26</c:f>
              <c:numCache>
                <c:formatCode>General</c:formatCode>
                <c:ptCount val="1"/>
                <c:pt idx="0">
                  <c:v>-23.8</c:v>
                </c:pt>
              </c:numCache>
            </c:numRef>
          </c:xVal>
          <c:yVal>
            <c:numRef>
              <c:f>'2x13C plots - v1'!$G$26</c:f>
              <c:numCache>
                <c:formatCode>General</c:formatCode>
                <c:ptCount val="1"/>
                <c:pt idx="0">
                  <c:v>5.0133436816867678E-3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33-4344-A48B-CAE4299D6B17}"/>
            </c:ext>
          </c:extLst>
        </c:ser>
        <c:ser>
          <c:idx val="4"/>
          <c:order val="2"/>
          <c:tx>
            <c:v>Terrestrial fractionation 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'2x13C plots - v1'!$A$10:$A$20</c:f>
              <c:numCache>
                <c:formatCode>General</c:formatCode>
                <c:ptCount val="11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  <c:pt idx="5">
                  <c:v>-24</c:v>
                </c:pt>
                <c:pt idx="6">
                  <c:v>-25</c:v>
                </c:pt>
                <c:pt idx="7">
                  <c:v>-25.2</c:v>
                </c:pt>
                <c:pt idx="8">
                  <c:v>-30</c:v>
                </c:pt>
                <c:pt idx="9">
                  <c:v>-3.92</c:v>
                </c:pt>
                <c:pt idx="10">
                  <c:v>-11.81</c:v>
                </c:pt>
              </c:numCache>
            </c:numRef>
          </c:xVal>
          <c:yVal>
            <c:numRef>
              <c:f>'2x13C plots - v1'!$N$10:$N$20</c:f>
              <c:numCache>
                <c:formatCode>General</c:formatCode>
                <c:ptCount val="11"/>
                <c:pt idx="0">
                  <c:v>5.2501724127756964E-3</c:v>
                </c:pt>
                <c:pt idx="1">
                  <c:v>5.2004310748046349E-3</c:v>
                </c:pt>
                <c:pt idx="2">
                  <c:v>5.150900994252197E-3</c:v>
                </c:pt>
                <c:pt idx="3">
                  <c:v>5.1015825261389973E-3</c:v>
                </c:pt>
                <c:pt idx="4">
                  <c:v>5.0524760258977737E-3</c:v>
                </c:pt>
                <c:pt idx="5">
                  <c:v>5.0133436816867678E-3</c:v>
                </c:pt>
                <c:pt idx="6">
                  <c:v>5.0035818493737918E-3</c:v>
                </c:pt>
                <c:pt idx="7">
                  <c:v>5.0016305036836685E-3</c:v>
                </c:pt>
                <c:pt idx="8">
                  <c:v>4.954900352825301E-3</c:v>
                </c:pt>
                <c:pt idx="9">
                  <c:v>5.2111573283948488E-3</c:v>
                </c:pt>
                <c:pt idx="10">
                  <c:v>5.1330232535885334E-3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33-4344-A48B-CAE4299D6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58399"/>
        <c:axId val="1883900063"/>
      </c:scatterChart>
      <c:valAx>
        <c:axId val="183415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layout>
            <c:manualLayout>
              <c:xMode val="edge"/>
              <c:yMode val="edge"/>
              <c:x val="0.47030683153184888"/>
              <c:y val="0.85694176575304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900063"/>
        <c:crossesAt val="0"/>
        <c:crossBetween val="midCat"/>
        <c:majorUnit val="5"/>
      </c:valAx>
      <c:valAx>
        <c:axId val="1883900063"/>
        <c:scaling>
          <c:orientation val="minMax"/>
          <c:max val="6.0000000000000019E-3"/>
          <c:min val="4.000000000000001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13C212C8/12C10</a:t>
                </a:r>
              </a:p>
            </c:rich>
          </c:tx>
          <c:layout>
            <c:manualLayout>
              <c:xMode val="edge"/>
              <c:yMode val="edge"/>
              <c:x val="0.16323408635341"/>
              <c:y val="0.33177896822581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58399"/>
        <c:crossesAt val="-30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>
        <c:manualLayout>
          <c:xMode val="edge"/>
          <c:yMode val="edge"/>
          <c:x val="0.54073102308842047"/>
          <c:y val="0.61045632802691208"/>
          <c:w val="0.44880685978964185"/>
          <c:h val="0.29578912461373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a106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'2x13C plots - v1'!$C$34:$C$38</c:f>
                <c:numCache>
                  <c:formatCode>General</c:formatCode>
                  <c:ptCount val="5"/>
                  <c:pt idx="0">
                    <c:v>8.0008463184361229</c:v>
                  </c:pt>
                  <c:pt idx="1">
                    <c:v>5.1341941399899937</c:v>
                  </c:pt>
                  <c:pt idx="2">
                    <c:v>4.7588449033731104</c:v>
                  </c:pt>
                  <c:pt idx="3">
                    <c:v>3.1424566702089236</c:v>
                  </c:pt>
                  <c:pt idx="4">
                    <c:v>2.8741654051067829</c:v>
                  </c:pt>
                </c:numCache>
              </c:numRef>
            </c:plus>
            <c:minus>
              <c:numRef>
                <c:f>'2x13C plots - v1'!$C$34:$C$38</c:f>
                <c:numCache>
                  <c:formatCode>General</c:formatCode>
                  <c:ptCount val="5"/>
                  <c:pt idx="0">
                    <c:v>8.0008463184361229</c:v>
                  </c:pt>
                  <c:pt idx="1">
                    <c:v>5.1341941399899937</c:v>
                  </c:pt>
                  <c:pt idx="2">
                    <c:v>4.7588449033731104</c:v>
                  </c:pt>
                  <c:pt idx="3">
                    <c:v>3.1424566702089236</c:v>
                  </c:pt>
                  <c:pt idx="4">
                    <c:v>2.8741654051067829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'2x13C plots - v1'!$A$34:$A$38</c:f>
              <c:strCache>
                <c:ptCount val="5"/>
                <c:pt idx="0">
                  <c:v>Napthalene</c:v>
                </c:pt>
                <c:pt idx="1">
                  <c:v>Phenanthrene</c:v>
                </c:pt>
                <c:pt idx="2">
                  <c:v>Anthracene</c:v>
                </c:pt>
                <c:pt idx="3">
                  <c:v>Fluoranthene</c:v>
                </c:pt>
                <c:pt idx="4">
                  <c:v>Pyrene</c:v>
                </c:pt>
              </c:strCache>
            </c:strRef>
          </c:xVal>
          <c:yVal>
            <c:numRef>
              <c:f>'2x13C plots - v1'!$B$34:$B$38</c:f>
              <c:numCache>
                <c:formatCode>General</c:formatCode>
                <c:ptCount val="5"/>
                <c:pt idx="0">
                  <c:v>-39.216306675088461</c:v>
                </c:pt>
                <c:pt idx="1">
                  <c:v>-0.11257645158002649</c:v>
                </c:pt>
                <c:pt idx="2">
                  <c:v>-2.5596859117702486</c:v>
                </c:pt>
                <c:pt idx="3">
                  <c:v>-17.832801774581462</c:v>
                </c:pt>
                <c:pt idx="4">
                  <c:v>-32.246496689373181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C-8A43-9A9C-A4C22C702F39}"/>
            </c:ext>
          </c:extLst>
        </c:ser>
        <c:ser>
          <c:idx val="1"/>
          <c:order val="1"/>
          <c:tx>
            <c:v>c107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'2x13C plots - v1'!$E$34:$E$38</c:f>
                <c:numCache>
                  <c:formatCode>General</c:formatCode>
                  <c:ptCount val="5"/>
                  <c:pt idx="0">
                    <c:v>4.9045746326710198</c:v>
                  </c:pt>
                  <c:pt idx="1">
                    <c:v>4.1910226162314439</c:v>
                  </c:pt>
                  <c:pt idx="2">
                    <c:v>4.5140102784322647</c:v>
                  </c:pt>
                  <c:pt idx="3">
                    <c:v>2.5416762408600606</c:v>
                  </c:pt>
                  <c:pt idx="4">
                    <c:v>2.1149845144850712</c:v>
                  </c:pt>
                </c:numCache>
              </c:numRef>
            </c:plus>
            <c:minus>
              <c:numRef>
                <c:f>'2x13C plots - v1'!$E$34:$E$38</c:f>
                <c:numCache>
                  <c:formatCode>General</c:formatCode>
                  <c:ptCount val="5"/>
                  <c:pt idx="0">
                    <c:v>4.9045746326710198</c:v>
                  </c:pt>
                  <c:pt idx="1">
                    <c:v>4.1910226162314439</c:v>
                  </c:pt>
                  <c:pt idx="2">
                    <c:v>4.5140102784322647</c:v>
                  </c:pt>
                  <c:pt idx="3">
                    <c:v>2.5416762408600606</c:v>
                  </c:pt>
                  <c:pt idx="4">
                    <c:v>2.1149845144850712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'2x13C plots - v1'!$A$34:$A$38</c:f>
              <c:strCache>
                <c:ptCount val="5"/>
                <c:pt idx="0">
                  <c:v>Napthalene</c:v>
                </c:pt>
                <c:pt idx="1">
                  <c:v>Phenanthrene</c:v>
                </c:pt>
                <c:pt idx="2">
                  <c:v>Anthracene</c:v>
                </c:pt>
                <c:pt idx="3">
                  <c:v>Fluoranthene</c:v>
                </c:pt>
                <c:pt idx="4">
                  <c:v>Pyrene</c:v>
                </c:pt>
              </c:strCache>
            </c:strRef>
          </c:xVal>
          <c:yVal>
            <c:numRef>
              <c:f>'2x13C plots - v1'!$D$34:$D$38</c:f>
              <c:numCache>
                <c:formatCode>General</c:formatCode>
                <c:ptCount val="5"/>
                <c:pt idx="0">
                  <c:v>-20.352243148830993</c:v>
                </c:pt>
                <c:pt idx="1">
                  <c:v>-12.644453810510715</c:v>
                </c:pt>
                <c:pt idx="2">
                  <c:v>-16.713071237317468</c:v>
                </c:pt>
                <c:pt idx="3">
                  <c:v>-17.106026968804812</c:v>
                </c:pt>
                <c:pt idx="4">
                  <c:v>-23.633026104479924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EC-8A43-9A9C-A4C22C702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316592"/>
        <c:axId val="1439505632"/>
      </c:scatterChart>
      <c:valAx>
        <c:axId val="148131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505632"/>
        <c:crosses val="autoZero"/>
        <c:crossBetween val="midCat"/>
      </c:valAx>
      <c:valAx>
        <c:axId val="1439505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31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phenanthrene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8.0000000000000026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FINAL'!$S$7,'collated data - FINAL'!$S$9,'collated data - FINAL'!$S$11,'collated data - FINAL'!$S$12,'collated data - FINAL'!$S$15,'collated data - FINAL'!$S$17,'collated data - FINAL'!$S$27,'collated data - FINAL'!$S$28,'collated data - FINAL'!$S$30,'collated data - FINAL'!$S$32,'collated data - FINAL'!$S$34,'collated data - FINAL'!$S$35,'collated data - FINAL'!$S$36)</c:f>
              <c:numCache>
                <c:formatCode>General</c:formatCode>
                <c:ptCount val="13"/>
                <c:pt idx="0">
                  <c:v>0.14707698944825701</c:v>
                </c:pt>
                <c:pt idx="1">
                  <c:v>0.14552943848439001</c:v>
                </c:pt>
                <c:pt idx="2">
                  <c:v>0.14899254080888699</c:v>
                </c:pt>
                <c:pt idx="3">
                  <c:v>0.147201945323162</c:v>
                </c:pt>
                <c:pt idx="4">
                  <c:v>0.15008701785241699</c:v>
                </c:pt>
                <c:pt idx="5">
                  <c:v>0.15221591525665101</c:v>
                </c:pt>
                <c:pt idx="6">
                  <c:v>0.149176567597057</c:v>
                </c:pt>
                <c:pt idx="7">
                  <c:v>0.149213535608436</c:v>
                </c:pt>
                <c:pt idx="8">
                  <c:v>0.15106658626299599</c:v>
                </c:pt>
                <c:pt idx="9">
                  <c:v>0.152543008315317</c:v>
                </c:pt>
                <c:pt idx="10">
                  <c:v>0.14997468709849099</c:v>
                </c:pt>
                <c:pt idx="11">
                  <c:v>0.14938015248803199</c:v>
                </c:pt>
                <c:pt idx="12">
                  <c:v>0.150852672002949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26-1F4C-BD9D-BC4E8F009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78127"/>
        <c:axId val="75195359"/>
      </c:scatterChart>
      <c:valAx>
        <c:axId val="7537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75195359"/>
        <c:crosses val="autoZero"/>
        <c:crossBetween val="midCat"/>
      </c:valAx>
      <c:valAx>
        <c:axId val="7519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7537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anthracene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5.0000000000000012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FINAL'!$AD$7,'collated data - FINAL'!$AD$9,'collated data - FINAL'!$AD$11,'collated data - FINAL'!$AD$12,'collated data - FINAL'!$AD$15,'collated data - FINAL'!$AD$17,'collated data - FINAL'!$AD$27,'collated data - FINAL'!$AD$28,'collated data - FINAL'!$AD$30,'collated data - FINAL'!$AD$32,'collated data - FINAL'!$AD$34,'collated data - FINAL'!$AD$35,'collated data - FINAL'!$AD$36)</c:f>
              <c:numCache>
                <c:formatCode>General</c:formatCode>
                <c:ptCount val="13"/>
                <c:pt idx="0">
                  <c:v>0.14862168264523501</c:v>
                </c:pt>
                <c:pt idx="1">
                  <c:v>0.14455069626341199</c:v>
                </c:pt>
                <c:pt idx="2">
                  <c:v>0.14878530111503999</c:v>
                </c:pt>
                <c:pt idx="3">
                  <c:v>0.145755436096593</c:v>
                </c:pt>
                <c:pt idx="4">
                  <c:v>0.150213164237886</c:v>
                </c:pt>
                <c:pt idx="5">
                  <c:v>0.150217780287626</c:v>
                </c:pt>
                <c:pt idx="6">
                  <c:v>0.15051126854191499</c:v>
                </c:pt>
                <c:pt idx="7">
                  <c:v>0.150956003081718</c:v>
                </c:pt>
                <c:pt idx="8">
                  <c:v>0.15037373119819999</c:v>
                </c:pt>
                <c:pt idx="9">
                  <c:v>0.15107654898897799</c:v>
                </c:pt>
                <c:pt idx="10">
                  <c:v>0.15023887942924699</c:v>
                </c:pt>
                <c:pt idx="11">
                  <c:v>0.14941799102602801</c:v>
                </c:pt>
                <c:pt idx="12">
                  <c:v>0.15004490955399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8-244C-9DA8-95F81531F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50511"/>
        <c:axId val="133539199"/>
      </c:scatterChart>
      <c:valAx>
        <c:axId val="13355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33539199"/>
        <c:crosses val="autoZero"/>
        <c:crossBetween val="midCat"/>
      </c:valAx>
      <c:valAx>
        <c:axId val="13353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3355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fluoranthene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5.0000000000000012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FINAL'!$AO$7,'collated data - FINAL'!$AO$9,'collated data - FINAL'!$AO$11,'collated data - FINAL'!$AO$12,'collated data - FINAL'!$AO$15,'collated data - FINAL'!$AO$17,'collated data - FINAL'!$AO$27,'collated data - FINAL'!$AO$28,'collated data - FINAL'!$AO$30,'collated data - FINAL'!$AO$32,'collated data - FINAL'!$AO$34,'collated data - FINAL'!$AO$35,'collated data - FINAL'!$AO$36)</c:f>
              <c:numCache>
                <c:formatCode>General</c:formatCode>
                <c:ptCount val="13"/>
                <c:pt idx="0">
                  <c:v>0.169721121455473</c:v>
                </c:pt>
                <c:pt idx="1">
                  <c:v>0.16875672222621799</c:v>
                </c:pt>
                <c:pt idx="2">
                  <c:v>0.168993733838392</c:v>
                </c:pt>
                <c:pt idx="3">
                  <c:v>0.168196100327584</c:v>
                </c:pt>
                <c:pt idx="4">
                  <c:v>0.16992284757461101</c:v>
                </c:pt>
                <c:pt idx="5">
                  <c:v>0.169706217315129</c:v>
                </c:pt>
                <c:pt idx="6">
                  <c:v>0.16940595495474201</c:v>
                </c:pt>
                <c:pt idx="7">
                  <c:v>0.16925618830670999</c:v>
                </c:pt>
                <c:pt idx="8">
                  <c:v>0.16876461144514501</c:v>
                </c:pt>
                <c:pt idx="9">
                  <c:v>0.16895550743371501</c:v>
                </c:pt>
                <c:pt idx="10">
                  <c:v>0.17041511238898699</c:v>
                </c:pt>
                <c:pt idx="11">
                  <c:v>0.16997427044125599</c:v>
                </c:pt>
                <c:pt idx="12">
                  <c:v>0.169320433361726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C1-734B-923B-B62B10664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00959"/>
        <c:axId val="77268687"/>
      </c:scatterChart>
      <c:valAx>
        <c:axId val="7750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77268687"/>
        <c:crosses val="autoZero"/>
        <c:crossBetween val="midCat"/>
      </c:valAx>
      <c:valAx>
        <c:axId val="7726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7750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pyrene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4.0000000000000013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FINAL'!$AZ$7,'collated data - FINAL'!$AZ$9,'collated data - FINAL'!$AZ$11,'collated data - FINAL'!$AZ$12,'collated data - FINAL'!$AZ$15,'collated data - FINAL'!$AZ$17,'collated data - FINAL'!$AZ$27,'collated data - FINAL'!$AZ$28,'collated data - FINAL'!$AZ$30,'collated data - FINAL'!$AZ$32,'collated data - FINAL'!$AZ$34,'collated data - FINAL'!$AZ$35,'collated data - FINAL'!$AZ$36)</c:f>
              <c:numCache>
                <c:formatCode>General</c:formatCode>
                <c:ptCount val="13"/>
                <c:pt idx="0">
                  <c:v>0.168791089551205</c:v>
                </c:pt>
                <c:pt idx="1">
                  <c:v>0.169952612404875</c:v>
                </c:pt>
                <c:pt idx="2">
                  <c:v>0.16978613524011699</c:v>
                </c:pt>
                <c:pt idx="3">
                  <c:v>0.16990175921398801</c:v>
                </c:pt>
                <c:pt idx="4">
                  <c:v>0.17012140204585699</c:v>
                </c:pt>
                <c:pt idx="5">
                  <c:v>0.16950710030388999</c:v>
                </c:pt>
                <c:pt idx="6">
                  <c:v>0.16991581214191601</c:v>
                </c:pt>
                <c:pt idx="7">
                  <c:v>0.16901113152545</c:v>
                </c:pt>
                <c:pt idx="8">
                  <c:v>0.17017299707108399</c:v>
                </c:pt>
                <c:pt idx="9">
                  <c:v>0.16978105645264899</c:v>
                </c:pt>
                <c:pt idx="10">
                  <c:v>0.16925285077499</c:v>
                </c:pt>
                <c:pt idx="11">
                  <c:v>0.16956712648386299</c:v>
                </c:pt>
                <c:pt idx="12">
                  <c:v>0.170353028844447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0-A64D-B7A4-16B9808EE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03807"/>
        <c:axId val="132879391"/>
      </c:scatterChart>
      <c:valAx>
        <c:axId val="7730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32879391"/>
        <c:crosses val="autoZero"/>
        <c:crossBetween val="midCat"/>
      </c:valAx>
      <c:valAx>
        <c:axId val="13287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77303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napthalene </a:t>
            </a:r>
          </a:p>
        </c:rich>
      </c:tx>
      <c:layout>
        <c:manualLayout>
          <c:xMode val="edge"/>
          <c:yMode val="edge"/>
          <c:x val="0.3067152230971128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8.0000000000000026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FINAL'!$H$7,'collated data - FINAL'!$H$9,'collated data - FINAL'!$H$11,'collated data - FINAL'!$H$12,'collated data - FINAL'!$H$15,'collated data - FINAL'!$H$17,'collated data - FINAL'!$H$27,'collated data - FINAL'!$H$28,'collated data - FINAL'!$H$30,'collated data - FINAL'!$H$32,'collated data - FINAL'!$H$34,'collated data - FINAL'!$H$35,'collated data - FINAL'!$H$36)</c:f>
              <c:numCache>
                <c:formatCode>General</c:formatCode>
                <c:ptCount val="13"/>
                <c:pt idx="0">
                  <c:v>0.103836708585115</c:v>
                </c:pt>
                <c:pt idx="1">
                  <c:v>0.106699538641799</c:v>
                </c:pt>
                <c:pt idx="2">
                  <c:v>0.1055860811564</c:v>
                </c:pt>
                <c:pt idx="3">
                  <c:v>0.102994535761886</c:v>
                </c:pt>
                <c:pt idx="4">
                  <c:v>0.109364021831655</c:v>
                </c:pt>
                <c:pt idx="5">
                  <c:v>0.108703818836242</c:v>
                </c:pt>
                <c:pt idx="6">
                  <c:v>0.107712285231472</c:v>
                </c:pt>
                <c:pt idx="7">
                  <c:v>0.109190971822458</c:v>
                </c:pt>
                <c:pt idx="8">
                  <c:v>0.10916528934169301</c:v>
                </c:pt>
                <c:pt idx="9">
                  <c:v>0.107195259897164</c:v>
                </c:pt>
                <c:pt idx="10">
                  <c:v>0.10803553408147</c:v>
                </c:pt>
                <c:pt idx="11">
                  <c:v>0.108046249371357</c:v>
                </c:pt>
                <c:pt idx="12">
                  <c:v>0.10972875630071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82-F348-8E73-BA5C992DF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481136"/>
        <c:axId val="695653536"/>
      </c:scatterChart>
      <c:valAx>
        <c:axId val="69548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695653536"/>
        <c:crosses val="autoZero"/>
        <c:crossBetween val="midCat"/>
      </c:valAx>
      <c:valAx>
        <c:axId val="6956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69548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.0000000000000003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FINAL'!$H$69,'collated data - FINAL'!$H$70,'collated data - FINAL'!$H$72,'collated data - FINAL'!$H$74,'collated data - FINAL'!$H$76,'collated data - FINAL'!$H$77,'collated data - FINAL'!$H$78,'collated data - FINAL'!$H$79)</c:f>
              <c:numCache>
                <c:formatCode>General</c:formatCode>
                <c:ptCount val="8"/>
                <c:pt idx="0">
                  <c:v>4.7368568442720301E-3</c:v>
                </c:pt>
                <c:pt idx="1">
                  <c:v>4.7422889473136302E-3</c:v>
                </c:pt>
                <c:pt idx="2">
                  <c:v>4.6149115454303703E-3</c:v>
                </c:pt>
                <c:pt idx="3">
                  <c:v>4.5513456789515704E-3</c:v>
                </c:pt>
                <c:pt idx="4">
                  <c:v>4.5606614526448302E-3</c:v>
                </c:pt>
                <c:pt idx="5">
                  <c:v>4.3267972533551496E-3</c:v>
                </c:pt>
                <c:pt idx="6">
                  <c:v>4.8791787053928098E-3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4-DE4F-9C7A-7B82C0F1C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456287"/>
        <c:axId val="2088457967"/>
      </c:scatterChart>
      <c:valAx>
        <c:axId val="208845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457967"/>
        <c:crosses val="autoZero"/>
        <c:crossBetween val="midCat"/>
      </c:valAx>
      <c:valAx>
        <c:axId val="208845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45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9.000000000000003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FINAL'!$H$88,'collated data - FINAL'!$H$90,'collated data - FINAL'!$H$92,'collated data - FINAL'!$H$94,'collated data - FINAL'!$H$96,'collated data - FINAL'!$H$98)</c:f>
              <c:numCache>
                <c:formatCode>General</c:formatCode>
                <c:ptCount val="6"/>
                <c:pt idx="0">
                  <c:v>4.5134165989448402E-2</c:v>
                </c:pt>
                <c:pt idx="1">
                  <c:v>4.5646350377091E-2</c:v>
                </c:pt>
                <c:pt idx="2">
                  <c:v>4.5626515124482597E-2</c:v>
                </c:pt>
                <c:pt idx="3">
                  <c:v>4.6725399333558702E-2</c:v>
                </c:pt>
                <c:pt idx="4">
                  <c:v>4.4216566022317598E-2</c:v>
                </c:pt>
                <c:pt idx="5">
                  <c:v>4.2783693342432497E-2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FD-6C4A-BFCB-82B6B0BFC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050959"/>
        <c:axId val="2041564175"/>
      </c:scatterChart>
      <c:valAx>
        <c:axId val="213205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564175"/>
        <c:crosses val="autoZero"/>
        <c:crossBetween val="midCat"/>
      </c:valAx>
      <c:valAx>
        <c:axId val="204156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05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823802440751821E-2"/>
          <c:y val="6.2843227672362445E-2"/>
          <c:w val="0.85254193132921585"/>
          <c:h val="0.87823147629558862"/>
        </c:manualLayout>
      </c:layout>
      <c:scatterChart>
        <c:scatterStyle val="lineMarker"/>
        <c:varyColors val="0"/>
        <c:ser>
          <c:idx val="0"/>
          <c:order val="0"/>
          <c:tx>
            <c:v>HB2 phenanthrene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E4A1FF"/>
              </a:solidFill>
              <a:ln w="9525">
                <a:noFill/>
              </a:ln>
              <a:effectLst/>
            </c:spPr>
          </c:marker>
          <c:xVal>
            <c:numRef>
              <c:f>'2x13C plots - FINAL'!$D$37</c:f>
              <c:numCache>
                <c:formatCode>General</c:formatCode>
                <c:ptCount val="1"/>
                <c:pt idx="0">
                  <c:v>-12.644453810510715</c:v>
                </c:pt>
              </c:numCache>
            </c:numRef>
          </c:xVal>
          <c:yVal>
            <c:numRef>
              <c:f>'2x13C plots - FINAL'!$F$37</c:f>
              <c:numCache>
                <c:formatCode>General</c:formatCode>
                <c:ptCount val="1"/>
                <c:pt idx="0">
                  <c:v>9.6840837738836668E-3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4-254B-9379-DD81A6F7C93C}"/>
            </c:ext>
          </c:extLst>
        </c:ser>
        <c:ser>
          <c:idx val="2"/>
          <c:order val="1"/>
          <c:tx>
            <c:v>HB2 anthracene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A229D2"/>
              </a:solidFill>
              <a:ln w="9525">
                <a:noFill/>
              </a:ln>
              <a:effectLst/>
            </c:spPr>
          </c:marker>
          <c:xVal>
            <c:numRef>
              <c:f>'2x13C plots - FINAL'!$D$38</c:f>
              <c:numCache>
                <c:formatCode>General</c:formatCode>
                <c:ptCount val="1"/>
                <c:pt idx="0">
                  <c:v>-16.713071237317468</c:v>
                </c:pt>
              </c:numCache>
            </c:numRef>
          </c:xVal>
          <c:yVal>
            <c:numRef>
              <c:f>'2x13C plots - FINAL'!$F$38</c:f>
              <c:numCache>
                <c:formatCode>General</c:formatCode>
                <c:ptCount val="1"/>
                <c:pt idx="0">
                  <c:v>9.6733529951766924E-3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74-254B-9379-DD81A6F7C93C}"/>
            </c:ext>
          </c:extLst>
        </c:ser>
        <c:ser>
          <c:idx val="3"/>
          <c:order val="2"/>
          <c:tx>
            <c:v>Terrestrial anthracene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'2x13C plots - FINAL'!$B$30</c:f>
              <c:numCache>
                <c:formatCode>General</c:formatCode>
                <c:ptCount val="1"/>
                <c:pt idx="0">
                  <c:v>-24.1</c:v>
                </c:pt>
              </c:numCache>
            </c:numRef>
          </c:xVal>
          <c:yVal>
            <c:numRef>
              <c:f>'2x13C plots - FINAL'!$D$30</c:f>
              <c:numCache>
                <c:formatCode>General</c:formatCode>
                <c:ptCount val="1"/>
                <c:pt idx="0">
                  <c:v>9.5016990107643518E-3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74-254B-9379-DD81A6F7C93C}"/>
            </c:ext>
          </c:extLst>
        </c:ser>
        <c:ser>
          <c:idx val="4"/>
          <c:order val="3"/>
          <c:tx>
            <c:v>Terrestrial fractionation 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'2x13C plots - FINAL'!$A$10:$A$20</c:f>
              <c:numCache>
                <c:formatCode>General</c:formatCode>
                <c:ptCount val="11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  <c:pt idx="5">
                  <c:v>-24</c:v>
                </c:pt>
                <c:pt idx="6">
                  <c:v>-25</c:v>
                </c:pt>
                <c:pt idx="7">
                  <c:v>-25.2</c:v>
                </c:pt>
                <c:pt idx="8">
                  <c:v>-30</c:v>
                </c:pt>
                <c:pt idx="9">
                  <c:v>-3.92</c:v>
                </c:pt>
                <c:pt idx="10">
                  <c:v>-11.81</c:v>
                </c:pt>
              </c:numCache>
            </c:numRef>
          </c:xVal>
          <c:yVal>
            <c:numRef>
              <c:f>'2x13C plots - FINAL'!$M$10:$M$20</c:f>
              <c:numCache>
                <c:formatCode>General</c:formatCode>
                <c:ptCount val="11"/>
                <c:pt idx="0">
                  <c:v>9.9747411343182654E-3</c:v>
                </c:pt>
                <c:pt idx="1">
                  <c:v>9.8752430915034373E-3</c:v>
                </c:pt>
                <c:pt idx="2">
                  <c:v>9.7762437857453321E-3</c:v>
                </c:pt>
                <c:pt idx="3">
                  <c:v>9.6777432170439357E-3</c:v>
                </c:pt>
                <c:pt idx="4">
                  <c:v>9.5797413853992604E-3</c:v>
                </c:pt>
                <c:pt idx="5">
                  <c:v>9.5016990107643518E-3</c:v>
                </c:pt>
                <c:pt idx="6">
                  <c:v>9.4822382908113009E-3</c:v>
                </c:pt>
                <c:pt idx="7">
                  <c:v>9.4783485407585605E-3</c:v>
                </c:pt>
                <c:pt idx="8">
                  <c:v>9.3852339332800572E-3</c:v>
                </c:pt>
                <c:pt idx="9">
                  <c:v>9.8966924396873771E-3</c:v>
                </c:pt>
                <c:pt idx="10">
                  <c:v>9.7405289867175879E-3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74-254B-9379-DD81A6F7C93C}"/>
            </c:ext>
          </c:extLst>
        </c:ser>
        <c:ser>
          <c:idx val="1"/>
          <c:order val="4"/>
          <c:tx>
            <c:v>Terrestrial phenanthrene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'2x13C plots - FINAL'!$B$29</c:f>
              <c:numCache>
                <c:formatCode>General</c:formatCode>
                <c:ptCount val="1"/>
                <c:pt idx="0">
                  <c:v>-24.4</c:v>
                </c:pt>
              </c:numCache>
            </c:numRef>
          </c:xVal>
          <c:yVal>
            <c:numRef>
              <c:f>'2x13C plots - FINAL'!$D$29</c:f>
              <c:numCache>
                <c:formatCode>General</c:formatCode>
                <c:ptCount val="1"/>
                <c:pt idx="0">
                  <c:v>9.5019803987612048E-3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B74-254B-9379-DD81A6F7C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58399"/>
        <c:axId val="1883900063"/>
      </c:scatterChart>
      <c:valAx>
        <c:axId val="183415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layout>
            <c:manualLayout>
              <c:xMode val="edge"/>
              <c:yMode val="edge"/>
              <c:x val="0.47030683153184888"/>
              <c:y val="0.85694176575304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883900063"/>
        <c:crossesAt val="0"/>
        <c:crossBetween val="midCat"/>
        <c:majorUnit val="5"/>
      </c:valAx>
      <c:valAx>
        <c:axId val="1883900063"/>
        <c:scaling>
          <c:orientation val="minMax"/>
          <c:max val="1.0000000000000002E-2"/>
          <c:min val="9.4000000000000021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13C212C12/12C14</a:t>
                </a:r>
              </a:p>
            </c:rich>
          </c:tx>
          <c:layout>
            <c:manualLayout>
              <c:xMode val="edge"/>
              <c:yMode val="edge"/>
              <c:x val="0.16323408635341"/>
              <c:y val="0.33177896822581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834158399"/>
        <c:crossesAt val="-30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ayout>
        <c:manualLayout>
          <c:xMode val="edge"/>
          <c:yMode val="edge"/>
          <c:x val="0.54073102308842047"/>
          <c:y val="0.61045632802691208"/>
          <c:w val="0.44880685978964185"/>
          <c:h val="0.29578912461373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3.0000000000000009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FINAL'!$H$113,'collated data - FINAL'!$H$115,'collated data - FINAL'!$H$117,'collated data - FINAL'!$H$119,'collated data - FINAL'!$H$121,'collated data - FINAL'!$H$123)</c:f>
              <c:numCache>
                <c:formatCode>General</c:formatCode>
                <c:ptCount val="6"/>
                <c:pt idx="0">
                  <c:v>7.2521027941231204E-3</c:v>
                </c:pt>
                <c:pt idx="1">
                  <c:v>8.1922948203845599E-3</c:v>
                </c:pt>
                <c:pt idx="2">
                  <c:v>6.9789526609321303E-3</c:v>
                </c:pt>
                <c:pt idx="3">
                  <c:v>7.6938971456556801E-3</c:v>
                </c:pt>
                <c:pt idx="4">
                  <c:v>7.06432673439114E-3</c:v>
                </c:pt>
                <c:pt idx="5">
                  <c:v>7.0949340457837603E-3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F-0E4D-99C5-D9CD33A17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540927"/>
        <c:axId val="2041130239"/>
      </c:scatterChart>
      <c:valAx>
        <c:axId val="205654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130239"/>
        <c:crosses val="autoZero"/>
        <c:crossBetween val="midCat"/>
      </c:valAx>
      <c:valAx>
        <c:axId val="204113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540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.0000000000000003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FINAL'!$H$49,'collated data - FINAL'!$H$51,'collated data - FINAL'!$H$53,'collated data - FINAL'!$H$54,'collated data - FINAL'!$H$57,'collated data - FINAL'!$H$59)</c:f>
              <c:numCache>
                <c:formatCode>General</c:formatCode>
                <c:ptCount val="6"/>
                <c:pt idx="0">
                  <c:v>4.3171445610945599E-3</c:v>
                </c:pt>
                <c:pt idx="1">
                  <c:v>3.4491371168539802E-3</c:v>
                </c:pt>
                <c:pt idx="2">
                  <c:v>4.6602772215628601E-3</c:v>
                </c:pt>
                <c:pt idx="3">
                  <c:v>1.70605169894492E-3</c:v>
                </c:pt>
                <c:pt idx="4">
                  <c:v>5.1325945055104997E-3</c:v>
                </c:pt>
                <c:pt idx="5">
                  <c:v>4.5392387391668901E-3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84-FC4C-BAFC-A5301EC5C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222303"/>
        <c:axId val="2108373839"/>
      </c:scatterChart>
      <c:valAx>
        <c:axId val="210822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373839"/>
        <c:crosses val="autoZero"/>
        <c:crossBetween val="midCat"/>
      </c:valAx>
      <c:valAx>
        <c:axId val="210837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22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.0000000000000003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FINAL'!$S$49,'collated data - FINAL'!$S$51,'collated data - FINAL'!$S$53,'collated data - FINAL'!$S$54,'collated data - FINAL'!$S$57,'collated data - FINAL'!$S$59)</c:f>
              <c:numCache>
                <c:formatCode>General</c:formatCode>
                <c:ptCount val="6"/>
                <c:pt idx="0">
                  <c:v>1.0077265059668701E-2</c:v>
                </c:pt>
                <c:pt idx="1">
                  <c:v>9.1377869807044692E-3</c:v>
                </c:pt>
                <c:pt idx="2">
                  <c:v>9.7908227157078899E-3</c:v>
                </c:pt>
                <c:pt idx="3">
                  <c:v>1.0228483463556899E-2</c:v>
                </c:pt>
                <c:pt idx="4">
                  <c:v>9.6755646312312506E-3</c:v>
                </c:pt>
                <c:pt idx="5">
                  <c:v>1.01684196989155E-2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6-B746-81DB-7E08CD5F4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930447"/>
        <c:axId val="2131690319"/>
      </c:scatterChart>
      <c:valAx>
        <c:axId val="213093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90319"/>
        <c:crosses val="autoZero"/>
        <c:crossBetween val="midCat"/>
      </c:valAx>
      <c:valAx>
        <c:axId val="213169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3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.0000000000000003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FINAL'!$S$69,'collated data - FINAL'!$S$70,'collated data - FINAL'!$S$72,'collated data - FINAL'!$S$74,'collated data - FINAL'!$S$76,'collated data - FINAL'!$S$77)</c:f>
              <c:numCache>
                <c:formatCode>General</c:formatCode>
                <c:ptCount val="6"/>
                <c:pt idx="0">
                  <c:v>9.5262277533772807E-3</c:v>
                </c:pt>
                <c:pt idx="1">
                  <c:v>9.8275164224436405E-3</c:v>
                </c:pt>
                <c:pt idx="2">
                  <c:v>1.02705894798899E-2</c:v>
                </c:pt>
                <c:pt idx="3">
                  <c:v>9.9017598821707006E-3</c:v>
                </c:pt>
                <c:pt idx="4">
                  <c:v>9.9098716174336396E-3</c:v>
                </c:pt>
                <c:pt idx="5">
                  <c:v>9.8425587131535999E-3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D-6C4E-A89E-767325372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26975"/>
        <c:axId val="2132511951"/>
      </c:scatterChart>
      <c:valAx>
        <c:axId val="213882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511951"/>
        <c:crosses val="autoZero"/>
        <c:crossBetween val="midCat"/>
      </c:valAx>
      <c:valAx>
        <c:axId val="213251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2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8.0000000000000026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FINAL'!$S$92,'collated data - FINAL'!$S$94,'collated data - FINAL'!$S$96,'collated data - FINAL'!$S$98)</c:f>
              <c:numCache>
                <c:formatCode>General</c:formatCode>
                <c:ptCount val="4"/>
                <c:pt idx="0">
                  <c:v>6.2626611001971394E-2</c:v>
                </c:pt>
                <c:pt idx="1">
                  <c:v>6.4234341105536996E-2</c:v>
                </c:pt>
                <c:pt idx="2">
                  <c:v>6.2564443357686406E-2</c:v>
                </c:pt>
                <c:pt idx="3">
                  <c:v>5.9382330856842698E-2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2A-984F-AA15-353CD22AB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31711"/>
        <c:axId val="2132558575"/>
      </c:scatterChart>
      <c:valAx>
        <c:axId val="213893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558575"/>
        <c:crosses val="autoZero"/>
        <c:crossBetween val="midCat"/>
      </c:valAx>
      <c:valAx>
        <c:axId val="213255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3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2.0000000000000006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FINAL'!$S$117,'collated data - FINAL'!$S$119,'collated data - FINAL'!$S$121,'collated data - FINAL'!$S$123)</c:f>
              <c:numCache>
                <c:formatCode>General</c:formatCode>
                <c:ptCount val="4"/>
                <c:pt idx="0">
                  <c:v>8.0795286563066903E-3</c:v>
                </c:pt>
                <c:pt idx="1">
                  <c:v>8.2802756318233993E-3</c:v>
                </c:pt>
                <c:pt idx="2">
                  <c:v>7.9406834288239699E-3</c:v>
                </c:pt>
                <c:pt idx="3">
                  <c:v>8.64800548610648E-3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60-A24D-9F02-29CA04FF9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207279"/>
        <c:axId val="17215024"/>
      </c:scatterChart>
      <c:valAx>
        <c:axId val="210820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5024"/>
        <c:crosses val="autoZero"/>
        <c:crossBetween val="midCat"/>
      </c:valAx>
      <c:valAx>
        <c:axId val="1721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20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3.0000000000000008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FINAL'!$AD$117,'collated data - FINAL'!$AD$119,'collated data - FINAL'!$AD$121,'collated data - FINAL'!$AD$123)</c:f>
              <c:numCache>
                <c:formatCode>General</c:formatCode>
                <c:ptCount val="4"/>
                <c:pt idx="0">
                  <c:v>8.4364946564328205E-3</c:v>
                </c:pt>
                <c:pt idx="1">
                  <c:v>8.6765514744291897E-3</c:v>
                </c:pt>
                <c:pt idx="2">
                  <c:v>8.7691799296644498E-3</c:v>
                </c:pt>
                <c:pt idx="3">
                  <c:v>8.9137462216216795E-3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3-8A4B-95E5-CE44DD5D5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902303"/>
        <c:axId val="17719760"/>
      </c:scatterChart>
      <c:valAx>
        <c:axId val="164290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9760"/>
        <c:crosses val="autoZero"/>
        <c:crossBetween val="midCat"/>
      </c:valAx>
      <c:valAx>
        <c:axId val="1771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90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.0000000000000002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FINAL'!$AD$92,'collated data - FINAL'!$AD$94,'collated data - FINAL'!$AD$96,'collated data - FINAL'!$AD$98)</c:f>
              <c:numCache>
                <c:formatCode>General</c:formatCode>
                <c:ptCount val="4"/>
                <c:pt idx="0">
                  <c:v>6.18355031935501E-2</c:v>
                </c:pt>
                <c:pt idx="1">
                  <c:v>6.3557723648269102E-2</c:v>
                </c:pt>
                <c:pt idx="2">
                  <c:v>6.2870409339797095E-2</c:v>
                </c:pt>
                <c:pt idx="3">
                  <c:v>6.0701677591695299E-2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34-834E-8CF5-CAF10D6CF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149631"/>
        <c:axId val="1642212191"/>
      </c:scatterChart>
      <c:valAx>
        <c:axId val="210814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212191"/>
        <c:crosses val="autoZero"/>
        <c:crossBetween val="midCat"/>
      </c:valAx>
      <c:valAx>
        <c:axId val="1642212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14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.0000000000000003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FINAL'!$AD$69,'collated data - FINAL'!$AD$70,'collated data - FINAL'!$AD$72,'collated data - FINAL'!$AD$74,'collated data - FINAL'!$AD$76,'collated data - FINAL'!$AD$77)</c:f>
              <c:numCache>
                <c:formatCode>General</c:formatCode>
                <c:ptCount val="6"/>
                <c:pt idx="0">
                  <c:v>9.6177382846917795E-3</c:v>
                </c:pt>
                <c:pt idx="1">
                  <c:v>9.3930737049317294E-3</c:v>
                </c:pt>
                <c:pt idx="2">
                  <c:v>9.8022808940282907E-3</c:v>
                </c:pt>
                <c:pt idx="3">
                  <c:v>9.5976040153251709E-3</c:v>
                </c:pt>
                <c:pt idx="4">
                  <c:v>9.9637982210223405E-3</c:v>
                </c:pt>
                <c:pt idx="5">
                  <c:v>9.5699592132698005E-3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E1-8F40-A79D-0AFE0171E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0544"/>
        <c:axId val="2133536079"/>
      </c:scatterChart>
      <c:valAx>
        <c:axId val="2146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536079"/>
        <c:crosses val="autoZero"/>
        <c:crossBetween val="midCat"/>
      </c:valAx>
      <c:valAx>
        <c:axId val="213353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997594050743652E-2"/>
          <c:y val="7.407407407407407E-2"/>
          <c:w val="0.85222462817147859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.0000000000000003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FINAL'!$AD$49,'collated data - FINAL'!$AD$51,'collated data - FINAL'!$AD$53,'collated data - FINAL'!$AD$54,'collated data - FINAL'!$AD$57,'collated data - FINAL'!$AD$59)</c:f>
              <c:numCache>
                <c:formatCode>General</c:formatCode>
                <c:ptCount val="6"/>
                <c:pt idx="0">
                  <c:v>1.01286251145649E-2</c:v>
                </c:pt>
                <c:pt idx="1">
                  <c:v>9.5340016286718007E-3</c:v>
                </c:pt>
                <c:pt idx="2">
                  <c:v>1.01717126067298E-2</c:v>
                </c:pt>
                <c:pt idx="3">
                  <c:v>8.5088323363791806E-3</c:v>
                </c:pt>
                <c:pt idx="4">
                  <c:v>9.2843300060589003E-3</c:v>
                </c:pt>
                <c:pt idx="5">
                  <c:v>9.6287512304613094E-3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FB-3B48-BF2D-37F238541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8304"/>
        <c:axId val="18712992"/>
      </c:scatterChart>
      <c:valAx>
        <c:axId val="1963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2992"/>
        <c:crosses val="autoZero"/>
        <c:crossBetween val="midCat"/>
      </c:valAx>
      <c:valAx>
        <c:axId val="18712992"/>
        <c:scaling>
          <c:orientation val="minMax"/>
          <c:min val="8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823709849474884E-2"/>
          <c:y val="2.3562604435528062E-2"/>
          <c:w val="0.85254193132921585"/>
          <c:h val="0.87823147629558862"/>
        </c:manualLayout>
      </c:layout>
      <c:scatterChart>
        <c:scatterStyle val="lineMarker"/>
        <c:varyColors val="0"/>
        <c:ser>
          <c:idx val="2"/>
          <c:order val="0"/>
          <c:tx>
            <c:v>HB2 napthalene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E4A1FF"/>
              </a:solidFill>
              <a:ln w="9525">
                <a:noFill/>
              </a:ln>
              <a:effectLst/>
            </c:spPr>
          </c:marker>
          <c:xVal>
            <c:numRef>
              <c:f>'2x13C plots - FINAL'!$D$36</c:f>
              <c:numCache>
                <c:formatCode>General</c:formatCode>
                <c:ptCount val="1"/>
                <c:pt idx="0">
                  <c:v>-20.352243148830993</c:v>
                </c:pt>
              </c:numCache>
            </c:numRef>
          </c:xVal>
          <c:yVal>
            <c:numRef>
              <c:f>'2x13C plots - FINAL'!$F$36</c:f>
              <c:numCache>
                <c:formatCode>General</c:formatCode>
                <c:ptCount val="1"/>
                <c:pt idx="0">
                  <c:v>4.9832921146250658E-3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DD-5340-A78B-BF07A7C3BFA3}"/>
            </c:ext>
          </c:extLst>
        </c:ser>
        <c:ser>
          <c:idx val="3"/>
          <c:order val="1"/>
          <c:tx>
            <c:v>Terrestrial napthalene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'2x13C plots - FINAL'!$B$28</c:f>
              <c:numCache>
                <c:formatCode>General</c:formatCode>
                <c:ptCount val="1"/>
                <c:pt idx="0">
                  <c:v>-23.8</c:v>
                </c:pt>
              </c:numCache>
            </c:numRef>
          </c:xVal>
          <c:yVal>
            <c:numRef>
              <c:f>'2x13C plots - FINAL'!$D$28</c:f>
              <c:numCache>
                <c:formatCode>General</c:formatCode>
                <c:ptCount val="1"/>
                <c:pt idx="0">
                  <c:v>4.7796161712970742E-3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DD-5340-A78B-BF07A7C3BFA3}"/>
            </c:ext>
          </c:extLst>
        </c:ser>
        <c:ser>
          <c:idx val="4"/>
          <c:order val="2"/>
          <c:tx>
            <c:v>Terrestrial fractionation 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'2x13C plots - FINAL'!$A$10:$A$20</c:f>
              <c:numCache>
                <c:formatCode>General</c:formatCode>
                <c:ptCount val="11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  <c:pt idx="5">
                  <c:v>-24</c:v>
                </c:pt>
                <c:pt idx="6">
                  <c:v>-25</c:v>
                </c:pt>
                <c:pt idx="7">
                  <c:v>-25.2</c:v>
                </c:pt>
                <c:pt idx="8">
                  <c:v>-30</c:v>
                </c:pt>
                <c:pt idx="9">
                  <c:v>-3.92</c:v>
                </c:pt>
                <c:pt idx="10">
                  <c:v>-11.81</c:v>
                </c:pt>
              </c:numCache>
            </c:numRef>
          </c:xVal>
          <c:yVal>
            <c:numRef>
              <c:f>'2x13C plots - FINAL'!$Q$10:$Q$20</c:f>
              <c:numCache>
                <c:formatCode>General</c:formatCode>
                <c:ptCount val="11"/>
                <c:pt idx="0">
                  <c:v>5.0175693816525667E-3</c:v>
                </c:pt>
                <c:pt idx="1">
                  <c:v>4.9675191270705816E-3</c:v>
                </c:pt>
                <c:pt idx="2">
                  <c:v>4.9177197509576824E-3</c:v>
                </c:pt>
                <c:pt idx="3">
                  <c:v>4.8681712533138622E-3</c:v>
                </c:pt>
                <c:pt idx="4">
                  <c:v>4.8188736341391245E-3</c:v>
                </c:pt>
                <c:pt idx="5">
                  <c:v>4.7796161712970742E-3</c:v>
                </c:pt>
                <c:pt idx="6">
                  <c:v>4.7698268934334709E-3</c:v>
                </c:pt>
                <c:pt idx="7">
                  <c:v>4.7678702420774028E-3</c:v>
                </c:pt>
                <c:pt idx="8">
                  <c:v>4.7210310311969006E-3</c:v>
                </c:pt>
                <c:pt idx="9">
                  <c:v>4.9783087396785579E-3</c:v>
                </c:pt>
                <c:pt idx="10">
                  <c:v>4.8997542238667638E-3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DD-5340-A78B-BF07A7C3B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58399"/>
        <c:axId val="1883900063"/>
      </c:scatterChart>
      <c:valAx>
        <c:axId val="183415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layout>
            <c:manualLayout>
              <c:xMode val="edge"/>
              <c:yMode val="edge"/>
              <c:x val="0.47030683153184888"/>
              <c:y val="0.85694176575304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883900063"/>
        <c:crossesAt val="0"/>
        <c:crossBetween val="midCat"/>
        <c:majorUnit val="5"/>
      </c:valAx>
      <c:valAx>
        <c:axId val="1883900063"/>
        <c:scaling>
          <c:orientation val="minMax"/>
          <c:max val="5.1000000000000012E-3"/>
          <c:min val="4.6000000000000008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13C212C8/12C10</a:t>
                </a:r>
              </a:p>
            </c:rich>
          </c:tx>
          <c:layout>
            <c:manualLayout>
              <c:xMode val="edge"/>
              <c:yMode val="edge"/>
              <c:x val="0.25682131256104057"/>
              <c:y val="0.29457927707204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834158399"/>
        <c:crossesAt val="-30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>
        <c:manualLayout>
          <c:xMode val="edge"/>
          <c:yMode val="edge"/>
          <c:x val="0.54073102308842047"/>
          <c:y val="0.61045632802691208"/>
          <c:w val="0.44880685978964185"/>
          <c:h val="0.29578912461373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6.0000000000000016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FINAL'!$S$27,'collated data - FINAL'!$S$28,'collated data - FINAL'!$S$30,'collated data - FINAL'!$S$32,'collated data - FINAL'!$S$34,'collated data - FINAL'!$S$35)</c:f>
              <c:numCache>
                <c:formatCode>General</c:formatCode>
                <c:ptCount val="6"/>
                <c:pt idx="0">
                  <c:v>0.149176567597057</c:v>
                </c:pt>
                <c:pt idx="1">
                  <c:v>0.149213535608436</c:v>
                </c:pt>
                <c:pt idx="2">
                  <c:v>0.15106658626299599</c:v>
                </c:pt>
                <c:pt idx="3">
                  <c:v>0.152543008315317</c:v>
                </c:pt>
                <c:pt idx="4">
                  <c:v>0.14997468709849099</c:v>
                </c:pt>
                <c:pt idx="5">
                  <c:v>0.14938015248803199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36-FC45-8FBB-7711622FD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959055"/>
        <c:axId val="2109025071"/>
      </c:scatterChart>
      <c:valAx>
        <c:axId val="210895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025071"/>
        <c:crosses val="autoZero"/>
        <c:crossBetween val="midCat"/>
      </c:valAx>
      <c:valAx>
        <c:axId val="210902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95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4.0000000000000013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FINAL'!$AD$27,'collated data - FINAL'!$AD$28,'collated data - FINAL'!$AD$30,'collated data - FINAL'!$AD$32,'collated data - FINAL'!$AD$34,'collated data - FINAL'!$AD$35)</c:f>
              <c:numCache>
                <c:formatCode>General</c:formatCode>
                <c:ptCount val="6"/>
                <c:pt idx="0">
                  <c:v>0.15051126854191499</c:v>
                </c:pt>
                <c:pt idx="1">
                  <c:v>0.150956003081718</c:v>
                </c:pt>
                <c:pt idx="2">
                  <c:v>0.15037373119819999</c:v>
                </c:pt>
                <c:pt idx="3">
                  <c:v>0.15107654898897799</c:v>
                </c:pt>
                <c:pt idx="4">
                  <c:v>0.15023887942924699</c:v>
                </c:pt>
                <c:pt idx="5">
                  <c:v>0.14941799102602801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E8-784A-815E-301B7D0B1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768799"/>
        <c:axId val="1642277839"/>
      </c:scatterChart>
      <c:valAx>
        <c:axId val="166476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277839"/>
        <c:crosses val="autoZero"/>
        <c:crossBetween val="midCat"/>
      </c:valAx>
      <c:valAx>
        <c:axId val="164227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76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5.0000000000000012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FINAL'!$AO$27,'collated data - FINAL'!$AO$28,'collated data - FINAL'!$AO$30,'collated data - FINAL'!$AO$32,'collated data - FINAL'!$AO$34,'collated data - FINAL'!$AO$35)</c:f>
              <c:numCache>
                <c:formatCode>General</c:formatCode>
                <c:ptCount val="6"/>
                <c:pt idx="0">
                  <c:v>0.16940595495474201</c:v>
                </c:pt>
                <c:pt idx="1">
                  <c:v>0.16925618830670999</c:v>
                </c:pt>
                <c:pt idx="2">
                  <c:v>0.16876461144514501</c:v>
                </c:pt>
                <c:pt idx="3">
                  <c:v>0.16895550743371501</c:v>
                </c:pt>
                <c:pt idx="4">
                  <c:v>0.17041511238898699</c:v>
                </c:pt>
                <c:pt idx="5">
                  <c:v>0.16997427044125599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2C-7149-A8A9-2ED2ECB56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383967"/>
        <c:axId val="17769296"/>
      </c:scatterChart>
      <c:valAx>
        <c:axId val="166438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9296"/>
        <c:crosses val="autoZero"/>
        <c:crossBetween val="midCat"/>
      </c:valAx>
      <c:valAx>
        <c:axId val="177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38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.0000000000000003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FINAL'!$AO$49,'collated data - FINAL'!$AO$51,'collated data - FINAL'!$AO$53,'collated data - FINAL'!$AO$54,'collated data - FINAL'!$AO$57,'collated data - FINAL'!$AO$59)</c:f>
              <c:numCache>
                <c:formatCode>General</c:formatCode>
                <c:ptCount val="6"/>
                <c:pt idx="0">
                  <c:v>1.3050039813314001E-2</c:v>
                </c:pt>
                <c:pt idx="1">
                  <c:v>1.29210476687606E-2</c:v>
                </c:pt>
                <c:pt idx="2">
                  <c:v>1.27828525366445E-2</c:v>
                </c:pt>
                <c:pt idx="3">
                  <c:v>1.2866468232211299E-2</c:v>
                </c:pt>
                <c:pt idx="4">
                  <c:v>1.27451977724175E-2</c:v>
                </c:pt>
                <c:pt idx="5">
                  <c:v>1.27297893374301E-2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B-1740-B955-E39FB99B2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562047"/>
        <c:axId val="1642230335"/>
      </c:scatterChart>
      <c:valAx>
        <c:axId val="166456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230335"/>
        <c:crosses val="autoZero"/>
        <c:crossBetween val="midCat"/>
      </c:valAx>
      <c:valAx>
        <c:axId val="164223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562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.0000000000000003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FINAL'!$AO$69,'collated data - FINAL'!$AO$70,'collated data - FINAL'!$AO$72,'collated data - FINAL'!$AO$74,'collated data - FINAL'!$AO$76,'collated data - FINAL'!$AO$77)</c:f>
              <c:numCache>
                <c:formatCode>General</c:formatCode>
                <c:ptCount val="6"/>
                <c:pt idx="0">
                  <c:v>1.2773035674506199E-2</c:v>
                </c:pt>
                <c:pt idx="1">
                  <c:v>1.2708307183957599E-2</c:v>
                </c:pt>
                <c:pt idx="2">
                  <c:v>1.25757958676777E-2</c:v>
                </c:pt>
                <c:pt idx="3">
                  <c:v>1.24915017674747E-2</c:v>
                </c:pt>
                <c:pt idx="4">
                  <c:v>1.2792696557636899E-2</c:v>
                </c:pt>
                <c:pt idx="5">
                  <c:v>1.2679448417850099E-2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59-8F4F-9ADD-B61232F22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276735"/>
        <c:axId val="1666271263"/>
      </c:scatterChart>
      <c:valAx>
        <c:axId val="210927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271263"/>
        <c:crosses val="autoZero"/>
        <c:crossBetween val="midCat"/>
      </c:valAx>
      <c:valAx>
        <c:axId val="166627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27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6.0000000000000016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FINAL'!$AO$88,'collated data - FINAL'!$AO$90,'collated data - FINAL'!$AO$92,'collated data - FINAL'!$AO$94,'collated data - FINAL'!$AO$96,'collated data - FINAL'!$AO$98)</c:f>
              <c:numCache>
                <c:formatCode>General</c:formatCode>
                <c:ptCount val="6"/>
                <c:pt idx="0">
                  <c:v>6.9716681193270402E-2</c:v>
                </c:pt>
                <c:pt idx="1">
                  <c:v>7.0268663396156797E-2</c:v>
                </c:pt>
                <c:pt idx="2">
                  <c:v>6.85351418690089E-2</c:v>
                </c:pt>
                <c:pt idx="3">
                  <c:v>6.8925430830803602E-2</c:v>
                </c:pt>
                <c:pt idx="4">
                  <c:v>6.9325994514641803E-2</c:v>
                </c:pt>
                <c:pt idx="5">
                  <c:v>6.7247000600252502E-2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97-3E43-A68B-4D028596E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463135"/>
        <c:axId val="1673327695"/>
      </c:scatterChart>
      <c:valAx>
        <c:axId val="213346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27695"/>
        <c:crosses val="autoZero"/>
        <c:crossBetween val="midCat"/>
      </c:valAx>
      <c:valAx>
        <c:axId val="167332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463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08581865157316"/>
          <c:y val="0.10600609013334752"/>
          <c:w val="0.7835329330765487"/>
          <c:h val="0.773423459377287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2.0000000000000006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FINAL'!$AO$113,'collated data - FINAL'!$AO$115,'collated data - FINAL'!$AO$117,'collated data - FINAL'!$AO$119,'collated data - FINAL'!$AO$121,'collated data - FINAL'!$AO$123)</c:f>
              <c:numCache>
                <c:formatCode>General</c:formatCode>
                <c:ptCount val="6"/>
                <c:pt idx="0">
                  <c:v>1.1466501732700401E-2</c:v>
                </c:pt>
                <c:pt idx="1">
                  <c:v>1.24624602974339E-2</c:v>
                </c:pt>
                <c:pt idx="2">
                  <c:v>1.2889705434265999E-2</c:v>
                </c:pt>
                <c:pt idx="3">
                  <c:v>1.15598424925563E-2</c:v>
                </c:pt>
                <c:pt idx="4">
                  <c:v>1.20117899028778E-2</c:v>
                </c:pt>
                <c:pt idx="5">
                  <c:v>1.23547149033769E-2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E4-1C4A-ACCE-660066BB9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277503"/>
        <c:axId val="2107471407"/>
      </c:scatterChart>
      <c:valAx>
        <c:axId val="206027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471407"/>
        <c:crosses val="autoZero"/>
        <c:crossBetween val="midCat"/>
      </c:valAx>
      <c:valAx>
        <c:axId val="210747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27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3.0000000000000008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FINAL'!$AZ$27,'collated data - FINAL'!$AZ$28,'collated data - FINAL'!$AZ$30,'collated data - FINAL'!$AZ$32,'collated data - FINAL'!$AZ$34,'collated data - FINAL'!$AZ$35,'collated data - FINAL'!$AZ$36)</c:f>
              <c:numCache>
                <c:formatCode>General</c:formatCode>
                <c:ptCount val="7"/>
                <c:pt idx="0">
                  <c:v>0.16991581214191601</c:v>
                </c:pt>
                <c:pt idx="1">
                  <c:v>0.16901113152545</c:v>
                </c:pt>
                <c:pt idx="2">
                  <c:v>0.17017299707108399</c:v>
                </c:pt>
                <c:pt idx="3">
                  <c:v>0.16978105645264899</c:v>
                </c:pt>
                <c:pt idx="4">
                  <c:v>0.16925285077499</c:v>
                </c:pt>
                <c:pt idx="5">
                  <c:v>0.16956712648386299</c:v>
                </c:pt>
                <c:pt idx="6">
                  <c:v>0.170353028844447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C6-DD41-ACCF-63F9231E3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801471"/>
        <c:axId val="2087789007"/>
      </c:scatterChart>
      <c:valAx>
        <c:axId val="208780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789007"/>
        <c:crosses val="autoZero"/>
        <c:crossBetween val="midCat"/>
      </c:valAx>
      <c:valAx>
        <c:axId val="208778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801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.0000000000000003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FINAL'!$AZ$49,'collated data - FINAL'!$AZ$51,'collated data - FINAL'!$AZ$53,'collated data - FINAL'!$AZ$54,'collated data - FINAL'!$AZ$57,'collated data - FINAL'!$AZ$59)</c:f>
              <c:numCache>
                <c:formatCode>General</c:formatCode>
                <c:ptCount val="6"/>
                <c:pt idx="0">
                  <c:v>1.31736202578019E-2</c:v>
                </c:pt>
                <c:pt idx="1">
                  <c:v>1.3025076463353101E-2</c:v>
                </c:pt>
                <c:pt idx="2">
                  <c:v>1.2980442633696101E-2</c:v>
                </c:pt>
                <c:pt idx="3">
                  <c:v>1.3440642350663201E-2</c:v>
                </c:pt>
                <c:pt idx="4">
                  <c:v>1.26394995872109E-2</c:v>
                </c:pt>
                <c:pt idx="5">
                  <c:v>1.2519838541036299E-2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CE-FC4C-9EF0-8D84AF04C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443759"/>
        <c:axId val="1663902911"/>
      </c:scatterChart>
      <c:valAx>
        <c:axId val="166644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902911"/>
        <c:crosses val="autoZero"/>
        <c:crossBetween val="midCat"/>
      </c:valAx>
      <c:valAx>
        <c:axId val="166390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44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96243160282932"/>
          <c:y val="9.5999939527597153E-2"/>
          <c:w val="0.77457994127852658"/>
          <c:h val="0.7948105229540013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.0000000000000003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FINAL'!$AZ$69,'collated data - FINAL'!$AZ$70,'collated data - FINAL'!$AZ$72,'collated data - FINAL'!$AZ$74,'collated data - FINAL'!$AZ$76,'collated data - FINAL'!$AZ$77,'collated data - FINAL'!$AZ$79)</c:f>
              <c:numCache>
                <c:formatCode>General</c:formatCode>
                <c:ptCount val="7"/>
                <c:pt idx="0">
                  <c:v>1.26112891412018E-2</c:v>
                </c:pt>
                <c:pt idx="1">
                  <c:v>1.24794931690849E-2</c:v>
                </c:pt>
                <c:pt idx="2">
                  <c:v>1.2804341077649301E-2</c:v>
                </c:pt>
                <c:pt idx="3">
                  <c:v>1.26979127489113E-2</c:v>
                </c:pt>
                <c:pt idx="4">
                  <c:v>1.2758807504271301E-2</c:v>
                </c:pt>
                <c:pt idx="5">
                  <c:v>1.24901233581949E-2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A-CE45-BEBB-6BD9609B2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273535"/>
        <c:axId val="18992768"/>
      </c:scatterChart>
      <c:valAx>
        <c:axId val="166327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2768"/>
        <c:crosses val="autoZero"/>
        <c:crossBetween val="midCat"/>
      </c:valAx>
      <c:valAx>
        <c:axId val="1899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273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920751889566184E-2"/>
          <c:y val="2.6417534753099017E-2"/>
          <c:w val="0.82523653439907563"/>
          <c:h val="0.94188142354318216"/>
        </c:manualLayout>
      </c:layout>
      <c:scatterChart>
        <c:scatterStyle val="lineMarker"/>
        <c:varyColors val="0"/>
        <c:ser>
          <c:idx val="0"/>
          <c:order val="0"/>
          <c:tx>
            <c:v>a106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'2x13C plots - FINAL'!$C$36:$C$40</c:f>
                <c:numCache>
                  <c:formatCode>General</c:formatCode>
                  <c:ptCount val="5"/>
                  <c:pt idx="0">
                    <c:v>24.571332217373541</c:v>
                  </c:pt>
                  <c:pt idx="1">
                    <c:v>6.9566496160073408</c:v>
                  </c:pt>
                  <c:pt idx="2">
                    <c:v>0.54899782776268435</c:v>
                  </c:pt>
                  <c:pt idx="3">
                    <c:v>9.8347477209093661</c:v>
                  </c:pt>
                  <c:pt idx="4">
                    <c:v>1.2626914534230891</c:v>
                  </c:pt>
                </c:numCache>
              </c:numRef>
            </c:plus>
            <c:minus>
              <c:numRef>
                <c:f>'2x13C plots - FINAL'!$C$36:$C$40</c:f>
                <c:numCache>
                  <c:formatCode>General</c:formatCode>
                  <c:ptCount val="5"/>
                  <c:pt idx="0">
                    <c:v>24.571332217373541</c:v>
                  </c:pt>
                  <c:pt idx="1">
                    <c:v>6.9566496160073408</c:v>
                  </c:pt>
                  <c:pt idx="2">
                    <c:v>0.54899782776268435</c:v>
                  </c:pt>
                  <c:pt idx="3">
                    <c:v>9.8347477209093661</c:v>
                  </c:pt>
                  <c:pt idx="4">
                    <c:v>1.2626914534230891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'2x13C plots - FINAL'!$A$36:$A$40</c:f>
              <c:strCache>
                <c:ptCount val="5"/>
                <c:pt idx="0">
                  <c:v>Napthalene</c:v>
                </c:pt>
                <c:pt idx="1">
                  <c:v>Phenanthrene</c:v>
                </c:pt>
                <c:pt idx="2">
                  <c:v>Anthracene</c:v>
                </c:pt>
                <c:pt idx="3">
                  <c:v>Fluoranthene</c:v>
                </c:pt>
                <c:pt idx="4">
                  <c:v>Pyrene</c:v>
                </c:pt>
              </c:strCache>
            </c:strRef>
          </c:xVal>
          <c:yVal>
            <c:numRef>
              <c:f>'2x13C plots - FINAL'!$B$36:$B$40</c:f>
              <c:numCache>
                <c:formatCode>General</c:formatCode>
                <c:ptCount val="5"/>
                <c:pt idx="0">
                  <c:v>-27.476848815154888</c:v>
                </c:pt>
                <c:pt idx="1">
                  <c:v>-14.850717728731034</c:v>
                </c:pt>
                <c:pt idx="2">
                  <c:v>-10.454100181289672</c:v>
                </c:pt>
                <c:pt idx="3">
                  <c:v>-27.086179951660739</c:v>
                </c:pt>
                <c:pt idx="4">
                  <c:v>-29.579402891520502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FD-9D42-B1E1-B3D894A7A4F3}"/>
            </c:ext>
          </c:extLst>
        </c:ser>
        <c:ser>
          <c:idx val="1"/>
          <c:order val="1"/>
          <c:tx>
            <c:v>c107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'2x13C plots - FINAL'!$E$36:$E$40</c:f>
                <c:numCache>
                  <c:formatCode>General</c:formatCode>
                  <c:ptCount val="5"/>
                  <c:pt idx="0">
                    <c:v>4.9045746326710198</c:v>
                  </c:pt>
                  <c:pt idx="1">
                    <c:v>4.1910226162314439</c:v>
                  </c:pt>
                  <c:pt idx="2">
                    <c:v>4.5140102784322647</c:v>
                  </c:pt>
                  <c:pt idx="3">
                    <c:v>2.5416762408600606</c:v>
                  </c:pt>
                  <c:pt idx="4">
                    <c:v>2.1149845144850712</c:v>
                  </c:pt>
                </c:numCache>
              </c:numRef>
            </c:plus>
            <c:minus>
              <c:numRef>
                <c:f>'2x13C plots - FINAL'!$E$36:$E$40</c:f>
                <c:numCache>
                  <c:formatCode>General</c:formatCode>
                  <c:ptCount val="5"/>
                  <c:pt idx="0">
                    <c:v>4.9045746326710198</c:v>
                  </c:pt>
                  <c:pt idx="1">
                    <c:v>4.1910226162314439</c:v>
                  </c:pt>
                  <c:pt idx="2">
                    <c:v>4.5140102784322647</c:v>
                  </c:pt>
                  <c:pt idx="3">
                    <c:v>2.5416762408600606</c:v>
                  </c:pt>
                  <c:pt idx="4">
                    <c:v>2.1149845144850712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'2x13C plots - FINAL'!$A$36:$A$40</c:f>
              <c:strCache>
                <c:ptCount val="5"/>
                <c:pt idx="0">
                  <c:v>Napthalene</c:v>
                </c:pt>
                <c:pt idx="1">
                  <c:v>Phenanthrene</c:v>
                </c:pt>
                <c:pt idx="2">
                  <c:v>Anthracene</c:v>
                </c:pt>
                <c:pt idx="3">
                  <c:v>Fluoranthene</c:v>
                </c:pt>
                <c:pt idx="4">
                  <c:v>Pyrene</c:v>
                </c:pt>
              </c:strCache>
            </c:strRef>
          </c:xVal>
          <c:yVal>
            <c:numRef>
              <c:f>'2x13C plots - FINAL'!$D$36:$D$40</c:f>
              <c:numCache>
                <c:formatCode>General</c:formatCode>
                <c:ptCount val="5"/>
                <c:pt idx="0">
                  <c:v>-20.352243148830993</c:v>
                </c:pt>
                <c:pt idx="1">
                  <c:v>-12.644453810510715</c:v>
                </c:pt>
                <c:pt idx="2">
                  <c:v>-16.713071237317468</c:v>
                </c:pt>
                <c:pt idx="3">
                  <c:v>-17.106026968804812</c:v>
                </c:pt>
                <c:pt idx="4">
                  <c:v>-23.633026104479924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FD-9D42-B1E1-B3D894A7A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316592"/>
        <c:axId val="1439505632"/>
      </c:scatterChart>
      <c:valAx>
        <c:axId val="148131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505632"/>
        <c:crosses val="autoZero"/>
        <c:crossBetween val="midCat"/>
      </c:valAx>
      <c:valAx>
        <c:axId val="1439505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31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9.0000000000000028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FINAL'!$AZ$88,'collated data - FINAL'!$AZ$90,'collated data - FINAL'!$AZ$92,'collated data - FINAL'!$AZ$94,'collated data - FINAL'!$AZ$96,'collated data - FINAL'!$AZ$98)</c:f>
              <c:numCache>
                <c:formatCode>General</c:formatCode>
                <c:ptCount val="6"/>
                <c:pt idx="0">
                  <c:v>7.0000109342050601E-2</c:v>
                </c:pt>
                <c:pt idx="1">
                  <c:v>6.9853824473638498E-2</c:v>
                </c:pt>
                <c:pt idx="2">
                  <c:v>6.8164301964457497E-2</c:v>
                </c:pt>
                <c:pt idx="3">
                  <c:v>7.0106834923424496E-2</c:v>
                </c:pt>
                <c:pt idx="4">
                  <c:v>6.9465519241169699E-2</c:v>
                </c:pt>
                <c:pt idx="5">
                  <c:v>6.8394164407253696E-2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17-284A-B13D-17A3FD230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973199"/>
        <c:axId val="22153744"/>
      </c:scatterChart>
      <c:valAx>
        <c:axId val="166997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3744"/>
        <c:crosses val="autoZero"/>
        <c:crossBetween val="midCat"/>
      </c:valAx>
      <c:valAx>
        <c:axId val="2215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97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80295910591822"/>
          <c:y val="8.8888888888888892E-2"/>
          <c:w val="0.78548736347472692"/>
          <c:h val="0.8100096237970253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2.0000000000000006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FINAL'!$AZ$113,'collated data - FINAL'!$AZ$115,'collated data - FINAL'!$AZ$117,'collated data - FINAL'!$AZ$119,'collated data - FINAL'!$AZ$121,'collated data - FINAL'!$AZ$123)</c:f>
              <c:numCache>
                <c:formatCode>General</c:formatCode>
                <c:ptCount val="6"/>
                <c:pt idx="0">
                  <c:v>1.21912164018519E-2</c:v>
                </c:pt>
                <c:pt idx="1">
                  <c:v>1.26345012506232E-2</c:v>
                </c:pt>
                <c:pt idx="2">
                  <c:v>1.2417431861229299E-2</c:v>
                </c:pt>
                <c:pt idx="3">
                  <c:v>1.24605285374184E-2</c:v>
                </c:pt>
                <c:pt idx="4">
                  <c:v>1.2369462073775201E-2</c:v>
                </c:pt>
                <c:pt idx="5">
                  <c:v>1.1582022692250799E-2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63-B742-B052-D56CB053B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324511"/>
        <c:axId val="1673065615"/>
      </c:scatterChart>
      <c:valAx>
        <c:axId val="167232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065615"/>
        <c:crosses val="autoZero"/>
        <c:crossBetween val="midCat"/>
      </c:valAx>
      <c:valAx>
        <c:axId val="167306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32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040868913550079E-2"/>
          <c:y val="6.2843162461835134E-2"/>
          <c:w val="0.85254193132921585"/>
          <c:h val="0.87823147629558862"/>
        </c:manualLayout>
      </c:layout>
      <c:scatterChart>
        <c:scatterStyle val="lineMarker"/>
        <c:varyColors val="0"/>
        <c:ser>
          <c:idx val="0"/>
          <c:order val="0"/>
          <c:tx>
            <c:v>HB2 pyrene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63197F"/>
              </a:solidFill>
              <a:ln w="9525">
                <a:noFill/>
              </a:ln>
              <a:effectLst/>
            </c:spPr>
          </c:marker>
          <c:xVal>
            <c:numRef>
              <c:f>'2x13C plots - v2'!$D$41</c:f>
              <c:numCache>
                <c:formatCode>General</c:formatCode>
                <c:ptCount val="1"/>
                <c:pt idx="0">
                  <c:v>-23.633026104479924</c:v>
                </c:pt>
              </c:numCache>
            </c:numRef>
          </c:xVal>
          <c:yVal>
            <c:numRef>
              <c:f>'2x13C plots - v2'!$F$41</c:f>
              <c:numCache>
                <c:formatCode>General</c:formatCode>
                <c:ptCount val="1"/>
                <c:pt idx="0">
                  <c:v>1.2420586462036415E-2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21-8443-BC07-439C7F1D045B}"/>
            </c:ext>
          </c:extLst>
        </c:ser>
        <c:ser>
          <c:idx val="2"/>
          <c:order val="1"/>
          <c:tx>
            <c:v>HB2 fluoranthene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B56BCA"/>
              </a:solidFill>
              <a:ln w="9525">
                <a:noFill/>
              </a:ln>
              <a:effectLst/>
            </c:spPr>
          </c:marker>
          <c:xVal>
            <c:numRef>
              <c:f>'2x13C plots - v2'!$D$40</c:f>
              <c:numCache>
                <c:formatCode>General</c:formatCode>
                <c:ptCount val="1"/>
                <c:pt idx="0">
                  <c:v>-17.106026968804812</c:v>
                </c:pt>
              </c:numCache>
            </c:numRef>
          </c:xVal>
          <c:yVal>
            <c:numRef>
              <c:f>'2x13C plots - v2'!$F$40</c:f>
              <c:numCache>
                <c:formatCode>General</c:formatCode>
                <c:ptCount val="1"/>
                <c:pt idx="0">
                  <c:v>1.253037790718772E-2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21-8443-BC07-439C7F1D045B}"/>
            </c:ext>
          </c:extLst>
        </c:ser>
        <c:ser>
          <c:idx val="3"/>
          <c:order val="2"/>
          <c:tx>
            <c:v>Terrestrial fluoranthene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'2x13C plots - v2'!$B$32</c:f>
              <c:numCache>
                <c:formatCode>General</c:formatCode>
                <c:ptCount val="1"/>
                <c:pt idx="0">
                  <c:v>-24.2</c:v>
                </c:pt>
              </c:numCache>
            </c:numRef>
          </c:xVal>
          <c:yVal>
            <c:numRef>
              <c:f>'2x13C plots - v2'!$D$32</c:f>
              <c:numCache>
                <c:formatCode>General</c:formatCode>
                <c:ptCount val="1"/>
                <c:pt idx="0">
                  <c:v>1.2243663544170075E-2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21-8443-BC07-439C7F1D045B}"/>
            </c:ext>
          </c:extLst>
        </c:ser>
        <c:ser>
          <c:idx val="4"/>
          <c:order val="3"/>
          <c:tx>
            <c:v>Terrestrial fractionation 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'2x13C plots - v2'!$A$10:$A$21</c:f>
              <c:numCache>
                <c:formatCode>General</c:formatCode>
                <c:ptCount val="12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-14.9</c:v>
                </c:pt>
                <c:pt idx="4">
                  <c:v>-15</c:v>
                </c:pt>
                <c:pt idx="5">
                  <c:v>-20</c:v>
                </c:pt>
                <c:pt idx="6">
                  <c:v>-24</c:v>
                </c:pt>
                <c:pt idx="7">
                  <c:v>-25</c:v>
                </c:pt>
                <c:pt idx="8">
                  <c:v>-25.2</c:v>
                </c:pt>
                <c:pt idx="9">
                  <c:v>-30</c:v>
                </c:pt>
                <c:pt idx="10">
                  <c:v>-3.92</c:v>
                </c:pt>
                <c:pt idx="11">
                  <c:v>-11.81</c:v>
                </c:pt>
              </c:numCache>
            </c:numRef>
          </c:xVal>
          <c:yVal>
            <c:numRef>
              <c:f>'2x13C plots - v2'!$I$10:$I$21</c:f>
              <c:numCache>
                <c:formatCode>General</c:formatCode>
                <c:ptCount val="12"/>
                <c:pt idx="0">
                  <c:v>1.2841795100369232E-2</c:v>
                </c:pt>
                <c:pt idx="1">
                  <c:v>1.2722216714014981E-2</c:v>
                </c:pt>
                <c:pt idx="2">
                  <c:v>1.2603083220457674E-2</c:v>
                </c:pt>
                <c:pt idx="4">
                  <c:v>1.2484395989602392E-2</c:v>
                </c:pt>
                <c:pt idx="5">
                  <c:v>1.236615639396728E-2</c:v>
                </c:pt>
                <c:pt idx="6">
                  <c:v>1.2271887938820681E-2</c:v>
                </c:pt>
                <c:pt idx="7">
                  <c:v>1.224836580868776E-2</c:v>
                </c:pt>
                <c:pt idx="8">
                  <c:v>1.2243663544170075E-2</c:v>
                </c:pt>
                <c:pt idx="9">
                  <c:v>1.2131025611520898E-2</c:v>
                </c:pt>
                <c:pt idx="10">
                  <c:v>1.2748008022470635E-2</c:v>
                </c:pt>
                <c:pt idx="11">
                  <c:v>1.2560066837462872E-2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21-8443-BC07-439C7F1D045B}"/>
            </c:ext>
          </c:extLst>
        </c:ser>
        <c:ser>
          <c:idx val="1"/>
          <c:order val="4"/>
          <c:tx>
            <c:v>Terrestrial pyrene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'2x13C plots - v2'!$B$33</c:f>
              <c:numCache>
                <c:formatCode>General</c:formatCode>
                <c:ptCount val="1"/>
                <c:pt idx="0">
                  <c:v>-25.2</c:v>
                </c:pt>
              </c:numCache>
            </c:numRef>
          </c:xVal>
          <c:yVal>
            <c:numRef>
              <c:f>'2x13C plots - v2'!$D$33</c:f>
              <c:numCache>
                <c:formatCode>General</c:formatCode>
                <c:ptCount val="1"/>
                <c:pt idx="0">
                  <c:v>1.2244172031591444E-2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21-8443-BC07-439C7F1D0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58399"/>
        <c:axId val="1883900063"/>
      </c:scatterChart>
      <c:valAx>
        <c:axId val="183415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layout>
            <c:manualLayout>
              <c:xMode val="edge"/>
              <c:yMode val="edge"/>
              <c:x val="0.47946945525861312"/>
              <c:y val="0.898847560372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883900063"/>
        <c:crossesAt val="1.1800000000000003E-2"/>
        <c:crossBetween val="midCat"/>
        <c:majorUnit val="5"/>
      </c:valAx>
      <c:valAx>
        <c:axId val="18839000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13C212C14/12C16</a:t>
                </a:r>
              </a:p>
            </c:rich>
          </c:tx>
          <c:layout>
            <c:manualLayout>
              <c:xMode val="edge"/>
              <c:yMode val="edge"/>
              <c:x val="0.18155956562361342"/>
              <c:y val="0.29406372654964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834158399"/>
        <c:crossesAt val="-30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ayout>
        <c:manualLayout>
          <c:xMode val="edge"/>
          <c:yMode val="edge"/>
          <c:x val="0.63235850896734391"/>
          <c:y val="0.57274112164550861"/>
          <c:w val="0.35717950149848288"/>
          <c:h val="0.3209327680193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823802440751821E-2"/>
          <c:y val="6.2843227672362445E-2"/>
          <c:w val="0.85254193132921585"/>
          <c:h val="0.87823147629558862"/>
        </c:manualLayout>
      </c:layout>
      <c:scatterChart>
        <c:scatterStyle val="lineMarker"/>
        <c:varyColors val="0"/>
        <c:ser>
          <c:idx val="0"/>
          <c:order val="0"/>
          <c:tx>
            <c:v>HB2 phenanthrene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E4A1FF"/>
              </a:solidFill>
              <a:ln w="9525">
                <a:noFill/>
              </a:ln>
              <a:effectLst/>
            </c:spPr>
          </c:marker>
          <c:xVal>
            <c:numRef>
              <c:f>'2x13C plots - v2'!$D$38</c:f>
              <c:numCache>
                <c:formatCode>General</c:formatCode>
                <c:ptCount val="1"/>
                <c:pt idx="0">
                  <c:v>-12.644453810510715</c:v>
                </c:pt>
              </c:numCache>
            </c:numRef>
          </c:xVal>
          <c:yVal>
            <c:numRef>
              <c:f>'2x13C plots - v2'!$F$38</c:f>
              <c:numCache>
                <c:formatCode>General</c:formatCode>
                <c:ptCount val="1"/>
                <c:pt idx="0">
                  <c:v>9.6840837738836668E-3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1-3640-8369-081A1AD7FD15}"/>
            </c:ext>
          </c:extLst>
        </c:ser>
        <c:ser>
          <c:idx val="2"/>
          <c:order val="1"/>
          <c:tx>
            <c:v>HB2 anthracene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A229D2"/>
              </a:solidFill>
              <a:ln w="9525">
                <a:noFill/>
              </a:ln>
              <a:effectLst/>
            </c:spPr>
          </c:marker>
          <c:xVal>
            <c:numRef>
              <c:f>'2x13C plots - v2'!$D$39</c:f>
              <c:numCache>
                <c:formatCode>General</c:formatCode>
                <c:ptCount val="1"/>
                <c:pt idx="0">
                  <c:v>-16.713071237317468</c:v>
                </c:pt>
              </c:numCache>
            </c:numRef>
          </c:xVal>
          <c:yVal>
            <c:numRef>
              <c:f>'2x13C plots - v2'!$F$39</c:f>
              <c:numCache>
                <c:formatCode>General</c:formatCode>
                <c:ptCount val="1"/>
                <c:pt idx="0">
                  <c:v>9.6733529951766924E-3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F1-3640-8369-081A1AD7FD15}"/>
            </c:ext>
          </c:extLst>
        </c:ser>
        <c:ser>
          <c:idx val="3"/>
          <c:order val="2"/>
          <c:tx>
            <c:v>Terrestrial anthracene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'2x13C plots - v2'!$B$31</c:f>
              <c:numCache>
                <c:formatCode>General</c:formatCode>
                <c:ptCount val="1"/>
                <c:pt idx="0">
                  <c:v>-24.1</c:v>
                </c:pt>
              </c:numCache>
            </c:numRef>
          </c:xVal>
          <c:yVal>
            <c:numRef>
              <c:f>'2x13C plots - v2'!$D$31</c:f>
              <c:numCache>
                <c:formatCode>General</c:formatCode>
                <c:ptCount val="1"/>
                <c:pt idx="0">
                  <c:v>9.5016990107643518E-3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F1-3640-8369-081A1AD7FD15}"/>
            </c:ext>
          </c:extLst>
        </c:ser>
        <c:ser>
          <c:idx val="4"/>
          <c:order val="3"/>
          <c:tx>
            <c:v>Terrestrial fractionation 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'2x13C plots - v2'!$A$10:$A$21</c:f>
              <c:numCache>
                <c:formatCode>General</c:formatCode>
                <c:ptCount val="12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-14.9</c:v>
                </c:pt>
                <c:pt idx="4">
                  <c:v>-15</c:v>
                </c:pt>
                <c:pt idx="5">
                  <c:v>-20</c:v>
                </c:pt>
                <c:pt idx="6">
                  <c:v>-24</c:v>
                </c:pt>
                <c:pt idx="7">
                  <c:v>-25</c:v>
                </c:pt>
                <c:pt idx="8">
                  <c:v>-25.2</c:v>
                </c:pt>
                <c:pt idx="9">
                  <c:v>-30</c:v>
                </c:pt>
                <c:pt idx="10">
                  <c:v>-3.92</c:v>
                </c:pt>
                <c:pt idx="11">
                  <c:v>-11.81</c:v>
                </c:pt>
              </c:numCache>
            </c:numRef>
          </c:xVal>
          <c:yVal>
            <c:numRef>
              <c:f>'2x13C plots - v2'!$M$10:$M$21</c:f>
              <c:numCache>
                <c:formatCode>General</c:formatCode>
                <c:ptCount val="12"/>
                <c:pt idx="0">
                  <c:v>9.9489922121081646E-3</c:v>
                </c:pt>
                <c:pt idx="1">
                  <c:v>9.8551092056931924E-3</c:v>
                </c:pt>
                <c:pt idx="2">
                  <c:v>9.7615921188828145E-3</c:v>
                </c:pt>
                <c:pt idx="4">
                  <c:v>9.6684418958348801E-3</c:v>
                </c:pt>
                <c:pt idx="5">
                  <c:v>9.5756594822687443E-3</c:v>
                </c:pt>
                <c:pt idx="6">
                  <c:v>9.5016990107643518E-3</c:v>
                </c:pt>
                <c:pt idx="7">
                  <c:v>9.4832458254674578E-3</c:v>
                </c:pt>
                <c:pt idx="8">
                  <c:v>9.4795569627513232E-3</c:v>
                </c:pt>
                <c:pt idx="9">
                  <c:v>9.3912018742800772E-3</c:v>
                </c:pt>
                <c:pt idx="10">
                  <c:v>9.8753569843082634E-3</c:v>
                </c:pt>
                <c:pt idx="11">
                  <c:v>9.7278293238982055E-3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F1-3640-8369-081A1AD7FD15}"/>
            </c:ext>
          </c:extLst>
        </c:ser>
        <c:ser>
          <c:idx val="1"/>
          <c:order val="4"/>
          <c:tx>
            <c:v>Terrestrial phenanthrene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'2x13C plots - v2'!$B$30</c:f>
              <c:numCache>
                <c:formatCode>General</c:formatCode>
                <c:ptCount val="1"/>
                <c:pt idx="0">
                  <c:v>-24.4</c:v>
                </c:pt>
              </c:numCache>
            </c:numRef>
          </c:xVal>
          <c:yVal>
            <c:numRef>
              <c:f>'2x13C plots - v2'!$D$30</c:f>
              <c:numCache>
                <c:formatCode>General</c:formatCode>
                <c:ptCount val="1"/>
                <c:pt idx="0">
                  <c:v>9.5019803987612048E-3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F1-3640-8369-081A1AD7F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58399"/>
        <c:axId val="1883900063"/>
      </c:scatterChart>
      <c:valAx>
        <c:axId val="183415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layout>
            <c:manualLayout>
              <c:xMode val="edge"/>
              <c:yMode val="edge"/>
              <c:x val="0.47030683153184888"/>
              <c:y val="0.85694176575304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883900063"/>
        <c:crossesAt val="0"/>
        <c:crossBetween val="midCat"/>
        <c:majorUnit val="5"/>
      </c:valAx>
      <c:valAx>
        <c:axId val="1883900063"/>
        <c:scaling>
          <c:orientation val="minMax"/>
          <c:max val="1.0000000000000002E-2"/>
          <c:min val="9.4000000000000021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13C212C12/12C14</a:t>
                </a:r>
              </a:p>
            </c:rich>
          </c:tx>
          <c:layout>
            <c:manualLayout>
              <c:xMode val="edge"/>
              <c:yMode val="edge"/>
              <c:x val="0.16323408635341"/>
              <c:y val="0.33177896822581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834158399"/>
        <c:crossesAt val="-30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ayout>
        <c:manualLayout>
          <c:xMode val="edge"/>
          <c:yMode val="edge"/>
          <c:x val="0.54073102308842047"/>
          <c:y val="0.61045632802691208"/>
          <c:w val="0.44880685978964185"/>
          <c:h val="0.29578912461373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823709849474884E-2"/>
          <c:y val="2.3562604435528062E-2"/>
          <c:w val="0.85254193132921585"/>
          <c:h val="0.87823147629558862"/>
        </c:manualLayout>
      </c:layout>
      <c:scatterChart>
        <c:scatterStyle val="lineMarker"/>
        <c:varyColors val="0"/>
        <c:ser>
          <c:idx val="2"/>
          <c:order val="0"/>
          <c:tx>
            <c:v>HB2 napthalene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E4A1FF"/>
              </a:solidFill>
              <a:ln w="9525">
                <a:noFill/>
              </a:ln>
              <a:effectLst/>
            </c:spPr>
          </c:marker>
          <c:xVal>
            <c:numRef>
              <c:f>'2x13C plots - v2'!$D$37</c:f>
              <c:numCache>
                <c:formatCode>General</c:formatCode>
                <c:ptCount val="1"/>
                <c:pt idx="0">
                  <c:v>-20.352243148830993</c:v>
                </c:pt>
              </c:numCache>
            </c:numRef>
          </c:xVal>
          <c:yVal>
            <c:numRef>
              <c:f>'2x13C plots - v2'!$F$37</c:f>
              <c:numCache>
                <c:formatCode>General</c:formatCode>
                <c:ptCount val="1"/>
                <c:pt idx="0">
                  <c:v>4.9832921146250658E-3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2-1141-A681-6A0A4836EBBE}"/>
            </c:ext>
          </c:extLst>
        </c:ser>
        <c:ser>
          <c:idx val="3"/>
          <c:order val="1"/>
          <c:tx>
            <c:v>Terrestrial napthalene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'2x13C plots - v2'!$B$29</c:f>
              <c:numCache>
                <c:formatCode>General</c:formatCode>
                <c:ptCount val="1"/>
                <c:pt idx="0">
                  <c:v>-23.8</c:v>
                </c:pt>
              </c:numCache>
            </c:numRef>
          </c:xVal>
          <c:yVal>
            <c:numRef>
              <c:f>'2x13C plots - v2'!$D$29</c:f>
              <c:numCache>
                <c:formatCode>General</c:formatCode>
                <c:ptCount val="1"/>
                <c:pt idx="0">
                  <c:v>4.7796161712970742E-3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62-1141-A681-6A0A4836EBBE}"/>
            </c:ext>
          </c:extLst>
        </c:ser>
        <c:ser>
          <c:idx val="4"/>
          <c:order val="2"/>
          <c:tx>
            <c:v>Terrestrial fractionation 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'2x13C plots - v2'!$A$10:$A$21</c:f>
              <c:numCache>
                <c:formatCode>General</c:formatCode>
                <c:ptCount val="12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-14.9</c:v>
                </c:pt>
                <c:pt idx="4">
                  <c:v>-15</c:v>
                </c:pt>
                <c:pt idx="5">
                  <c:v>-20</c:v>
                </c:pt>
                <c:pt idx="6">
                  <c:v>-24</c:v>
                </c:pt>
                <c:pt idx="7">
                  <c:v>-25</c:v>
                </c:pt>
                <c:pt idx="8">
                  <c:v>-25.2</c:v>
                </c:pt>
                <c:pt idx="9">
                  <c:v>-30</c:v>
                </c:pt>
                <c:pt idx="10">
                  <c:v>-3.92</c:v>
                </c:pt>
                <c:pt idx="11">
                  <c:v>-11.81</c:v>
                </c:pt>
              </c:numCache>
            </c:numRef>
          </c:xVal>
          <c:yVal>
            <c:numRef>
              <c:f>'2x13C plots - v2'!$Q$10:$Q$21</c:f>
              <c:numCache>
                <c:formatCode>General</c:formatCode>
                <c:ptCount val="12"/>
                <c:pt idx="0">
                  <c:v>5.0164449023860028E-3</c:v>
                </c:pt>
                <c:pt idx="1">
                  <c:v>4.9667035644149413E-3</c:v>
                </c:pt>
                <c:pt idx="2">
                  <c:v>4.9171734838625034E-3</c:v>
                </c:pt>
                <c:pt idx="4">
                  <c:v>4.8678550157493037E-3</c:v>
                </c:pt>
                <c:pt idx="5">
                  <c:v>4.8187485155080801E-3</c:v>
                </c:pt>
                <c:pt idx="6">
                  <c:v>4.7796161712970742E-3</c:v>
                </c:pt>
                <c:pt idx="7">
                  <c:v>4.7698543389840982E-3</c:v>
                </c:pt>
                <c:pt idx="8">
                  <c:v>4.7679029932939749E-3</c:v>
                </c:pt>
                <c:pt idx="9">
                  <c:v>4.7211728424356074E-3</c:v>
                </c:pt>
                <c:pt idx="10">
                  <c:v>4.9774298180051552E-3</c:v>
                </c:pt>
                <c:pt idx="11">
                  <c:v>4.8992957431988398E-3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62-1141-A681-6A0A4836E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58399"/>
        <c:axId val="1883900063"/>
      </c:scatterChart>
      <c:valAx>
        <c:axId val="183415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layout>
            <c:manualLayout>
              <c:xMode val="edge"/>
              <c:yMode val="edge"/>
              <c:x val="0.47030683153184888"/>
              <c:y val="0.85694176575304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883900063"/>
        <c:crossesAt val="0"/>
        <c:crossBetween val="midCat"/>
        <c:majorUnit val="5"/>
      </c:valAx>
      <c:valAx>
        <c:axId val="1883900063"/>
        <c:scaling>
          <c:orientation val="minMax"/>
          <c:max val="5.1000000000000012E-3"/>
          <c:min val="4.6000000000000008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13C212C8/12C10</a:t>
                </a:r>
              </a:p>
            </c:rich>
          </c:tx>
          <c:layout>
            <c:manualLayout>
              <c:xMode val="edge"/>
              <c:yMode val="edge"/>
              <c:x val="0.25682131256104057"/>
              <c:y val="0.29457927707204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834158399"/>
        <c:crossesAt val="-30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>
        <c:manualLayout>
          <c:xMode val="edge"/>
          <c:yMode val="edge"/>
          <c:x val="0.54073102308842047"/>
          <c:y val="0.61045632802691208"/>
          <c:w val="0.44880685978964185"/>
          <c:h val="0.29578912461373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920751889566184E-2"/>
          <c:y val="2.6417534753099017E-2"/>
          <c:w val="0.82523653439907563"/>
          <c:h val="0.94188142354318216"/>
        </c:manualLayout>
      </c:layout>
      <c:scatterChart>
        <c:scatterStyle val="lineMarker"/>
        <c:varyColors val="0"/>
        <c:ser>
          <c:idx val="0"/>
          <c:order val="0"/>
          <c:tx>
            <c:v>a106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'2x13C plots - v2'!$C$37:$C$41</c:f>
                <c:numCache>
                  <c:formatCode>General</c:formatCode>
                  <c:ptCount val="5"/>
                  <c:pt idx="0">
                    <c:v>24.571332217373541</c:v>
                  </c:pt>
                  <c:pt idx="1">
                    <c:v>6.9566496160073408</c:v>
                  </c:pt>
                  <c:pt idx="2">
                    <c:v>0.54899782776268435</c:v>
                  </c:pt>
                  <c:pt idx="3">
                    <c:v>9.8347477209093661</c:v>
                  </c:pt>
                  <c:pt idx="4">
                    <c:v>1.2626914534230891</c:v>
                  </c:pt>
                </c:numCache>
              </c:numRef>
            </c:plus>
            <c:minus>
              <c:numRef>
                <c:f>'2x13C plots - v2'!$C$37:$C$41</c:f>
                <c:numCache>
                  <c:formatCode>General</c:formatCode>
                  <c:ptCount val="5"/>
                  <c:pt idx="0">
                    <c:v>24.571332217373541</c:v>
                  </c:pt>
                  <c:pt idx="1">
                    <c:v>6.9566496160073408</c:v>
                  </c:pt>
                  <c:pt idx="2">
                    <c:v>0.54899782776268435</c:v>
                  </c:pt>
                  <c:pt idx="3">
                    <c:v>9.8347477209093661</c:v>
                  </c:pt>
                  <c:pt idx="4">
                    <c:v>1.2626914534230891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'2x13C plots - v2'!$A$37:$A$41</c:f>
              <c:strCache>
                <c:ptCount val="5"/>
                <c:pt idx="0">
                  <c:v>Napthalene</c:v>
                </c:pt>
                <c:pt idx="1">
                  <c:v>Phenanthrene</c:v>
                </c:pt>
                <c:pt idx="2">
                  <c:v>Anthracene</c:v>
                </c:pt>
                <c:pt idx="3">
                  <c:v>Fluoranthene</c:v>
                </c:pt>
                <c:pt idx="4">
                  <c:v>Pyrene</c:v>
                </c:pt>
              </c:strCache>
            </c:strRef>
          </c:xVal>
          <c:yVal>
            <c:numRef>
              <c:f>'2x13C plots - v2'!$B$37:$B$41</c:f>
              <c:numCache>
                <c:formatCode>General</c:formatCode>
                <c:ptCount val="5"/>
                <c:pt idx="0">
                  <c:v>-27.476848815154888</c:v>
                </c:pt>
                <c:pt idx="1">
                  <c:v>-14.850717728731034</c:v>
                </c:pt>
                <c:pt idx="2">
                  <c:v>-10.454100181289672</c:v>
                </c:pt>
                <c:pt idx="3">
                  <c:v>-27.086179951660739</c:v>
                </c:pt>
                <c:pt idx="4">
                  <c:v>-29.579402891520502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DC-4249-A4A5-F1E996E8BFC9}"/>
            </c:ext>
          </c:extLst>
        </c:ser>
        <c:ser>
          <c:idx val="1"/>
          <c:order val="1"/>
          <c:tx>
            <c:v>c107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'2x13C plots - v2'!$E$37:$E$41</c:f>
                <c:numCache>
                  <c:formatCode>General</c:formatCode>
                  <c:ptCount val="5"/>
                  <c:pt idx="0">
                    <c:v>4.9045746326710198</c:v>
                  </c:pt>
                  <c:pt idx="1">
                    <c:v>4.1910226162314439</c:v>
                  </c:pt>
                  <c:pt idx="2">
                    <c:v>4.5140102784322647</c:v>
                  </c:pt>
                  <c:pt idx="3">
                    <c:v>2.5416762408600606</c:v>
                  </c:pt>
                  <c:pt idx="4">
                    <c:v>2.1149845144850712</c:v>
                  </c:pt>
                </c:numCache>
              </c:numRef>
            </c:plus>
            <c:minus>
              <c:numRef>
                <c:f>'2x13C plots - v2'!$E$37:$E$41</c:f>
                <c:numCache>
                  <c:formatCode>General</c:formatCode>
                  <c:ptCount val="5"/>
                  <c:pt idx="0">
                    <c:v>4.9045746326710198</c:v>
                  </c:pt>
                  <c:pt idx="1">
                    <c:v>4.1910226162314439</c:v>
                  </c:pt>
                  <c:pt idx="2">
                    <c:v>4.5140102784322647</c:v>
                  </c:pt>
                  <c:pt idx="3">
                    <c:v>2.5416762408600606</c:v>
                  </c:pt>
                  <c:pt idx="4">
                    <c:v>2.1149845144850712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'2x13C plots - v2'!$A$37:$A$41</c:f>
              <c:strCache>
                <c:ptCount val="5"/>
                <c:pt idx="0">
                  <c:v>Napthalene</c:v>
                </c:pt>
                <c:pt idx="1">
                  <c:v>Phenanthrene</c:v>
                </c:pt>
                <c:pt idx="2">
                  <c:v>Anthracene</c:v>
                </c:pt>
                <c:pt idx="3">
                  <c:v>Fluoranthene</c:v>
                </c:pt>
                <c:pt idx="4">
                  <c:v>Pyrene</c:v>
                </c:pt>
              </c:strCache>
            </c:strRef>
          </c:xVal>
          <c:yVal>
            <c:numRef>
              <c:f>'2x13C plots - v2'!$D$37:$D$41</c:f>
              <c:numCache>
                <c:formatCode>General</c:formatCode>
                <c:ptCount val="5"/>
                <c:pt idx="0">
                  <c:v>-20.352243148830993</c:v>
                </c:pt>
                <c:pt idx="1">
                  <c:v>-12.644453810510715</c:v>
                </c:pt>
                <c:pt idx="2">
                  <c:v>-16.713071237317468</c:v>
                </c:pt>
                <c:pt idx="3">
                  <c:v>-17.106026968804812</c:v>
                </c:pt>
                <c:pt idx="4">
                  <c:v>-23.633026104479924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DC-4249-A4A5-F1E996E8B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316592"/>
        <c:axId val="1439505632"/>
      </c:scatterChart>
      <c:valAx>
        <c:axId val="148131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505632"/>
        <c:crosses val="autoZero"/>
        <c:crossBetween val="midCat"/>
      </c:valAx>
      <c:valAx>
        <c:axId val="1439505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31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fluoranthene and pyrene</a:t>
            </a:r>
          </a:p>
        </c:rich>
      </c:tx>
      <c:layout>
        <c:manualLayout>
          <c:xMode val="edge"/>
          <c:yMode val="edge"/>
          <c:x val="0.317662529637327"/>
          <c:y val="2.92887029288702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040868913550079E-2"/>
          <c:y val="6.2843162461835134E-2"/>
          <c:w val="0.85254193132921585"/>
          <c:h val="0.87823147629558862"/>
        </c:manualLayout>
      </c:layout>
      <c:scatterChart>
        <c:scatterStyle val="lineMarker"/>
        <c:varyColors val="0"/>
        <c:ser>
          <c:idx val="0"/>
          <c:order val="0"/>
          <c:tx>
            <c:v>HB2 pyrene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FA3-5649-9019-06499A728E73}"/>
              </c:ext>
            </c:extLst>
          </c:dPt>
          <c:xVal>
            <c:numRef>
              <c:f>'2x13C plots - v1'!$D$38</c:f>
              <c:numCache>
                <c:formatCode>General</c:formatCode>
                <c:ptCount val="1"/>
                <c:pt idx="0">
                  <c:v>-23.633026104479924</c:v>
                </c:pt>
              </c:numCache>
            </c:numRef>
          </c:xVal>
          <c:yVal>
            <c:numRef>
              <c:f>'2x13C plots - v1'!$H$38</c:f>
              <c:numCache>
                <c:formatCode>General</c:formatCode>
                <c:ptCount val="1"/>
                <c:pt idx="0">
                  <c:v>1.2785175667701274E-2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D-1249-BFBA-F0558FCC5B40}"/>
            </c:ext>
          </c:extLst>
        </c:ser>
        <c:ser>
          <c:idx val="2"/>
          <c:order val="1"/>
          <c:tx>
            <c:v>HB2 fluoranthene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'2x13C plots - v1'!$D$37</c:f>
              <c:numCache>
                <c:formatCode>General</c:formatCode>
                <c:ptCount val="1"/>
                <c:pt idx="0">
                  <c:v>-17.106026968804812</c:v>
                </c:pt>
              </c:numCache>
            </c:numRef>
          </c:xVal>
          <c:yVal>
            <c:numRef>
              <c:f>'2x13C plots - v1'!$H$37</c:f>
              <c:numCache>
                <c:formatCode>General</c:formatCode>
                <c:ptCount val="1"/>
                <c:pt idx="0">
                  <c:v>1.2851022838155073E-2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3D-1249-BFBA-F0558FCC5B40}"/>
            </c:ext>
          </c:extLst>
        </c:ser>
        <c:ser>
          <c:idx val="3"/>
          <c:order val="2"/>
          <c:tx>
            <c:v>Terrestrial fluoranthene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'2x13C plots - v1'!$B$29</c:f>
              <c:numCache>
                <c:formatCode>General</c:formatCode>
                <c:ptCount val="1"/>
                <c:pt idx="0">
                  <c:v>-24.2</c:v>
                </c:pt>
              </c:numCache>
            </c:numRef>
          </c:xVal>
          <c:yVal>
            <c:numRef>
              <c:f>'2x13C plots - v1'!$G$29</c:f>
              <c:numCache>
                <c:formatCode>General</c:formatCode>
                <c:ptCount val="1"/>
                <c:pt idx="0">
                  <c:v>1.2484496970401127E-2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3D-1249-BFBA-F0558FCC5B40}"/>
            </c:ext>
          </c:extLst>
        </c:ser>
        <c:ser>
          <c:idx val="4"/>
          <c:order val="3"/>
          <c:tx>
            <c:v>Terrestrial fractionation 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'2x13C plots - v1'!$A$10:$A$20</c:f>
              <c:numCache>
                <c:formatCode>General</c:formatCode>
                <c:ptCount val="11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  <c:pt idx="5">
                  <c:v>-24</c:v>
                </c:pt>
                <c:pt idx="6">
                  <c:v>-25</c:v>
                </c:pt>
                <c:pt idx="7">
                  <c:v>-25.2</c:v>
                </c:pt>
                <c:pt idx="8">
                  <c:v>-30</c:v>
                </c:pt>
                <c:pt idx="9">
                  <c:v>-3.92</c:v>
                </c:pt>
                <c:pt idx="10">
                  <c:v>-11.81</c:v>
                </c:pt>
              </c:numCache>
            </c:numRef>
          </c:xVal>
          <c:yVal>
            <c:numRef>
              <c:f>'2x13C plots - v1'!$H$10:$H$20</c:f>
              <c:numCache>
                <c:formatCode>General</c:formatCode>
                <c:ptCount val="11"/>
                <c:pt idx="0">
                  <c:v>1.3082628526600283E-2</c:v>
                </c:pt>
                <c:pt idx="1">
                  <c:v>1.2963050140246032E-2</c:v>
                </c:pt>
                <c:pt idx="2">
                  <c:v>1.2843916646688725E-2</c:v>
                </c:pt>
                <c:pt idx="3">
                  <c:v>1.2725229415833443E-2</c:v>
                </c:pt>
                <c:pt idx="4">
                  <c:v>1.2606989820198332E-2</c:v>
                </c:pt>
                <c:pt idx="5">
                  <c:v>1.2512721365051733E-2</c:v>
                </c:pt>
                <c:pt idx="6">
                  <c:v>1.2489199234918811E-2</c:v>
                </c:pt>
                <c:pt idx="7">
                  <c:v>1.2484496970401127E-2</c:v>
                </c:pt>
                <c:pt idx="8">
                  <c:v>1.237185903775195E-2</c:v>
                </c:pt>
                <c:pt idx="9">
                  <c:v>1.2988841448701686E-2</c:v>
                </c:pt>
                <c:pt idx="10">
                  <c:v>1.2800900263693923E-2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3D-1249-BFBA-F0558FCC5B40}"/>
            </c:ext>
          </c:extLst>
        </c:ser>
        <c:ser>
          <c:idx val="1"/>
          <c:order val="4"/>
          <c:tx>
            <c:v>Terrestrial pyrene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'2x13C plots - v1'!$B$30</c:f>
              <c:numCache>
                <c:formatCode>General</c:formatCode>
                <c:ptCount val="1"/>
                <c:pt idx="0">
                  <c:v>-25.2</c:v>
                </c:pt>
              </c:numCache>
            </c:numRef>
          </c:xVal>
          <c:yVal>
            <c:numRef>
              <c:f>'2x13C plots - v1'!$G$30</c:f>
              <c:numCache>
                <c:formatCode>General</c:formatCode>
                <c:ptCount val="1"/>
                <c:pt idx="0">
                  <c:v>1.2484496970401127E-2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C3D-1249-BFBA-F0558FCC5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58399"/>
        <c:axId val="1883900063"/>
      </c:scatterChart>
      <c:valAx>
        <c:axId val="183415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layout>
            <c:manualLayout>
              <c:xMode val="edge"/>
              <c:yMode val="edge"/>
              <c:x val="0.47946945525861312"/>
              <c:y val="0.898847560372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900063"/>
        <c:crossesAt val="1.1800000000000003E-2"/>
        <c:crossBetween val="midCat"/>
        <c:majorUnit val="5"/>
      </c:valAx>
      <c:valAx>
        <c:axId val="18839000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13C212C14/12C16</a:t>
                </a:r>
              </a:p>
            </c:rich>
          </c:tx>
          <c:layout>
            <c:manualLayout>
              <c:xMode val="edge"/>
              <c:yMode val="edge"/>
              <c:x val="0.18155956562361342"/>
              <c:y val="0.29406372654964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58399"/>
        <c:crossesAt val="-30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ayout>
        <c:manualLayout>
          <c:xMode val="edge"/>
          <c:yMode val="edge"/>
          <c:x val="0.63235850896734391"/>
          <c:y val="0.57274112164550861"/>
          <c:w val="0.35717950149848288"/>
          <c:h val="0.3209327680193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18" Type="http://schemas.openxmlformats.org/officeDocument/2006/relationships/chart" Target="../charts/chart30.xml"/><Relationship Id="rId26" Type="http://schemas.openxmlformats.org/officeDocument/2006/relationships/chart" Target="../charts/chart38.xml"/><Relationship Id="rId3" Type="http://schemas.openxmlformats.org/officeDocument/2006/relationships/chart" Target="../charts/chart15.xml"/><Relationship Id="rId21" Type="http://schemas.openxmlformats.org/officeDocument/2006/relationships/chart" Target="../charts/chart33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17" Type="http://schemas.openxmlformats.org/officeDocument/2006/relationships/chart" Target="../charts/chart29.xml"/><Relationship Id="rId25" Type="http://schemas.openxmlformats.org/officeDocument/2006/relationships/chart" Target="../charts/chart37.xml"/><Relationship Id="rId2" Type="http://schemas.openxmlformats.org/officeDocument/2006/relationships/chart" Target="../charts/chart14.xml"/><Relationship Id="rId16" Type="http://schemas.openxmlformats.org/officeDocument/2006/relationships/chart" Target="../charts/chart28.xml"/><Relationship Id="rId20" Type="http://schemas.openxmlformats.org/officeDocument/2006/relationships/chart" Target="../charts/chart32.xml"/><Relationship Id="rId29" Type="http://schemas.openxmlformats.org/officeDocument/2006/relationships/chart" Target="../charts/chart41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24" Type="http://schemas.openxmlformats.org/officeDocument/2006/relationships/chart" Target="../charts/chart36.xml"/><Relationship Id="rId5" Type="http://schemas.openxmlformats.org/officeDocument/2006/relationships/chart" Target="../charts/chart17.xml"/><Relationship Id="rId15" Type="http://schemas.openxmlformats.org/officeDocument/2006/relationships/chart" Target="../charts/chart27.xml"/><Relationship Id="rId23" Type="http://schemas.openxmlformats.org/officeDocument/2006/relationships/chart" Target="../charts/chart35.xml"/><Relationship Id="rId28" Type="http://schemas.openxmlformats.org/officeDocument/2006/relationships/chart" Target="../charts/chart40.xml"/><Relationship Id="rId10" Type="http://schemas.openxmlformats.org/officeDocument/2006/relationships/chart" Target="../charts/chart22.xml"/><Relationship Id="rId19" Type="http://schemas.openxmlformats.org/officeDocument/2006/relationships/chart" Target="../charts/chart31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Relationship Id="rId22" Type="http://schemas.openxmlformats.org/officeDocument/2006/relationships/chart" Target="../charts/chart34.xml"/><Relationship Id="rId27" Type="http://schemas.openxmlformats.org/officeDocument/2006/relationships/chart" Target="../charts/chart3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453953</xdr:colOff>
      <xdr:row>43</xdr:row>
      <xdr:rowOff>120799</xdr:rowOff>
    </xdr:from>
    <xdr:to>
      <xdr:col>9</xdr:col>
      <xdr:colOff>820589</xdr:colOff>
      <xdr:row>58</xdr:row>
      <xdr:rowOff>148959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6071E2-DD87-AB47-A37B-73158EE0D8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534838</xdr:colOff>
      <xdr:row>43</xdr:row>
      <xdr:rowOff>137080</xdr:rowOff>
    </xdr:from>
    <xdr:to>
      <xdr:col>5</xdr:col>
      <xdr:colOff>1255700</xdr:colOff>
      <xdr:row>58</xdr:row>
      <xdr:rowOff>165240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0D6E7B-B9D6-9B49-820E-E63BCDC98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269364</xdr:colOff>
      <xdr:row>43</xdr:row>
      <xdr:rowOff>116483</xdr:rowOff>
    </xdr:from>
    <xdr:to>
      <xdr:col>2</xdr:col>
      <xdr:colOff>1028268</xdr:colOff>
      <xdr:row>58</xdr:row>
      <xdr:rowOff>141099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2DD439-D14B-8649-8959-617BBDD44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630042</xdr:colOff>
      <xdr:row>35</xdr:row>
      <xdr:rowOff>167579</xdr:rowOff>
    </xdr:from>
    <xdr:to>
      <xdr:col>24</xdr:col>
      <xdr:colOff>546408</xdr:colOff>
      <xdr:row>59</xdr:row>
      <xdr:rowOff>60092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C2E137-08EE-AE4D-9376-89C8B4E78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453953</xdr:colOff>
      <xdr:row>44</xdr:row>
      <xdr:rowOff>120799</xdr:rowOff>
    </xdr:from>
    <xdr:to>
      <xdr:col>9</xdr:col>
      <xdr:colOff>820589</xdr:colOff>
      <xdr:row>59</xdr:row>
      <xdr:rowOff>148959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2DC1E5-5B10-024D-999C-EA4FB1962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534838</xdr:colOff>
      <xdr:row>44</xdr:row>
      <xdr:rowOff>137080</xdr:rowOff>
    </xdr:from>
    <xdr:to>
      <xdr:col>5</xdr:col>
      <xdr:colOff>1255700</xdr:colOff>
      <xdr:row>59</xdr:row>
      <xdr:rowOff>165240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8FF717-2195-4A4C-8F01-EA5D90456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269364</xdr:colOff>
      <xdr:row>44</xdr:row>
      <xdr:rowOff>116483</xdr:rowOff>
    </xdr:from>
    <xdr:to>
      <xdr:col>2</xdr:col>
      <xdr:colOff>1028268</xdr:colOff>
      <xdr:row>59</xdr:row>
      <xdr:rowOff>141099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A57D99-9280-0F49-A925-04180F0B0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630042</xdr:colOff>
      <xdr:row>36</xdr:row>
      <xdr:rowOff>167579</xdr:rowOff>
    </xdr:from>
    <xdr:to>
      <xdr:col>24</xdr:col>
      <xdr:colOff>546408</xdr:colOff>
      <xdr:row>60</xdr:row>
      <xdr:rowOff>60092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0D41B8-15B6-6A40-8A82-502B9F0DE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453953</xdr:colOff>
      <xdr:row>41</xdr:row>
      <xdr:rowOff>120799</xdr:rowOff>
    </xdr:from>
    <xdr:to>
      <xdr:col>9</xdr:col>
      <xdr:colOff>693589</xdr:colOff>
      <xdr:row>56</xdr:row>
      <xdr:rowOff>148959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F9F66E-3909-1A48-AABD-1AFF81B4B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534838</xdr:colOff>
      <xdr:row>41</xdr:row>
      <xdr:rowOff>137080</xdr:rowOff>
    </xdr:from>
    <xdr:to>
      <xdr:col>5</xdr:col>
      <xdr:colOff>1255700</xdr:colOff>
      <xdr:row>56</xdr:row>
      <xdr:rowOff>165240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DA2011-AC1F-274F-B5B1-4087EAF82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39980</xdr:colOff>
      <xdr:row>41</xdr:row>
      <xdr:rowOff>183693</xdr:rowOff>
    </xdr:from>
    <xdr:to>
      <xdr:col>2</xdr:col>
      <xdr:colOff>798884</xdr:colOff>
      <xdr:row>57</xdr:row>
      <xdr:rowOff>5109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EC22B2-8697-F04B-B871-21C0B3756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579242</xdr:colOff>
      <xdr:row>33</xdr:row>
      <xdr:rowOff>154879</xdr:rowOff>
    </xdr:from>
    <xdr:to>
      <xdr:col>19</xdr:col>
      <xdr:colOff>495608</xdr:colOff>
      <xdr:row>57</xdr:row>
      <xdr:rowOff>47392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145AEC-FF3F-1886-1E09-0833535FD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60960</xdr:colOff>
      <xdr:row>17</xdr:row>
      <xdr:rowOff>71120</xdr:rowOff>
    </xdr:from>
    <xdr:to>
      <xdr:col>16</xdr:col>
      <xdr:colOff>1117600</xdr:colOff>
      <xdr:row>25</xdr:row>
      <xdr:rowOff>40640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78D818-8FB7-8B41-8F2E-2C9A7BF09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766647</xdr:colOff>
      <xdr:row>17</xdr:row>
      <xdr:rowOff>60960</xdr:rowOff>
    </xdr:from>
    <xdr:to>
      <xdr:col>27</xdr:col>
      <xdr:colOff>1219200</xdr:colOff>
      <xdr:row>24</xdr:row>
      <xdr:rowOff>387195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E9ADA2-B1E6-494A-90DC-A86116289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704695</xdr:colOff>
      <xdr:row>17</xdr:row>
      <xdr:rowOff>71120</xdr:rowOff>
    </xdr:from>
    <xdr:to>
      <xdr:col>38</xdr:col>
      <xdr:colOff>1046480</xdr:colOff>
      <xdr:row>25</xdr:row>
      <xdr:rowOff>15488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B88CF7-934C-EF4A-869E-FCB98C1AC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766646</xdr:colOff>
      <xdr:row>17</xdr:row>
      <xdr:rowOff>111761</xdr:rowOff>
    </xdr:from>
    <xdr:to>
      <xdr:col>49</xdr:col>
      <xdr:colOff>955040</xdr:colOff>
      <xdr:row>25</xdr:row>
      <xdr:rowOff>54208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DC7C63-24A8-674F-A337-53206966E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86590</xdr:colOff>
      <xdr:row>17</xdr:row>
      <xdr:rowOff>19628</xdr:rowOff>
    </xdr:from>
    <xdr:to>
      <xdr:col>5</xdr:col>
      <xdr:colOff>912091</xdr:colOff>
      <xdr:row>26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72B895-3331-1721-FECE-219A4A5DE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27609</xdr:colOff>
      <xdr:row>79</xdr:row>
      <xdr:rowOff>27609</xdr:rowOff>
    </xdr:from>
    <xdr:to>
      <xdr:col>4</xdr:col>
      <xdr:colOff>624238</xdr:colOff>
      <xdr:row>86</xdr:row>
      <xdr:rowOff>226018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45F12D-CD54-6866-FD71-6D9C0C5DF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106459</xdr:colOff>
      <xdr:row>98</xdr:row>
      <xdr:rowOff>23164</xdr:rowOff>
    </xdr:from>
    <xdr:to>
      <xdr:col>4</xdr:col>
      <xdr:colOff>701215</xdr:colOff>
      <xdr:row>107</xdr:row>
      <xdr:rowOff>179457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51303C-A511-BD06-4090-AE14C9674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105896</xdr:colOff>
      <xdr:row>123</xdr:row>
      <xdr:rowOff>46973</xdr:rowOff>
    </xdr:from>
    <xdr:to>
      <xdr:col>4</xdr:col>
      <xdr:colOff>742627</xdr:colOff>
      <xdr:row>132</xdr:row>
      <xdr:rowOff>145764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88A2DE8-EEC2-2D34-D144-438BAB752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82827</xdr:colOff>
      <xdr:row>59</xdr:row>
      <xdr:rowOff>138923</xdr:rowOff>
    </xdr:from>
    <xdr:to>
      <xdr:col>4</xdr:col>
      <xdr:colOff>812818</xdr:colOff>
      <xdr:row>67</xdr:row>
      <xdr:rowOff>288956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93E1B03-317B-9B94-E5B7-F549AEBB2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192933</xdr:colOff>
      <xdr:row>59</xdr:row>
      <xdr:rowOff>162087</xdr:rowOff>
    </xdr:from>
    <xdr:to>
      <xdr:col>16</xdr:col>
      <xdr:colOff>567097</xdr:colOff>
      <xdr:row>68</xdr:row>
      <xdr:rowOff>34324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6FDF384-3172-1655-6289-66230B3EE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238454</xdr:colOff>
      <xdr:row>78</xdr:row>
      <xdr:rowOff>91165</xdr:rowOff>
    </xdr:from>
    <xdr:to>
      <xdr:col>16</xdr:col>
      <xdr:colOff>608013</xdr:colOff>
      <xdr:row>86</xdr:row>
      <xdr:rowOff>130955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50E8A4F-E5FE-60E5-3F8F-1442808EE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269852</xdr:colOff>
      <xdr:row>98</xdr:row>
      <xdr:rowOff>48969</xdr:rowOff>
    </xdr:from>
    <xdr:to>
      <xdr:col>16</xdr:col>
      <xdr:colOff>676413</xdr:colOff>
      <xdr:row>105</xdr:row>
      <xdr:rowOff>138044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954AF5B-2889-F991-16B8-DCD5D8668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184467</xdr:colOff>
      <xdr:row>123</xdr:row>
      <xdr:rowOff>103676</xdr:rowOff>
    </xdr:from>
    <xdr:to>
      <xdr:col>16</xdr:col>
      <xdr:colOff>690217</xdr:colOff>
      <xdr:row>133</xdr:row>
      <xdr:rowOff>69023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BF2F7C5-1A7F-9AC7-97AF-1ADE09434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109055</xdr:colOff>
      <xdr:row>124</xdr:row>
      <xdr:rowOff>43346</xdr:rowOff>
    </xdr:from>
    <xdr:to>
      <xdr:col>27</xdr:col>
      <xdr:colOff>55218</xdr:colOff>
      <xdr:row>135</xdr:row>
      <xdr:rowOff>27608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288D148-4F6A-1131-0C16-B0775A79F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164272</xdr:colOff>
      <xdr:row>99</xdr:row>
      <xdr:rowOff>1932</xdr:rowOff>
    </xdr:from>
    <xdr:to>
      <xdr:col>26</xdr:col>
      <xdr:colOff>869674</xdr:colOff>
      <xdr:row>108</xdr:row>
      <xdr:rowOff>27608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8FEF7BE-14B2-73D8-28CD-F0AA4D70B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178076</xdr:colOff>
      <xdr:row>78</xdr:row>
      <xdr:rowOff>112368</xdr:rowOff>
    </xdr:from>
    <xdr:to>
      <xdr:col>26</xdr:col>
      <xdr:colOff>579783</xdr:colOff>
      <xdr:row>86</xdr:row>
      <xdr:rowOff>248478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5DDE020-02E9-C1F4-EB54-6B6A197F1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95251</xdr:colOff>
      <xdr:row>59</xdr:row>
      <xdr:rowOff>98563</xdr:rowOff>
    </xdr:from>
    <xdr:to>
      <xdr:col>27</xdr:col>
      <xdr:colOff>759240</xdr:colOff>
      <xdr:row>67</xdr:row>
      <xdr:rowOff>317500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F7FA883-F964-44D6-1FA9-EDC0973FD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951121</xdr:colOff>
      <xdr:row>36</xdr:row>
      <xdr:rowOff>153782</xdr:rowOff>
    </xdr:from>
    <xdr:to>
      <xdr:col>16</xdr:col>
      <xdr:colOff>207067</xdr:colOff>
      <xdr:row>44</xdr:row>
      <xdr:rowOff>345110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87B2D95-80D4-0181-DDEC-CC470A074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343729</xdr:colOff>
      <xdr:row>37</xdr:row>
      <xdr:rowOff>13803</xdr:rowOff>
    </xdr:from>
    <xdr:to>
      <xdr:col>27</xdr:col>
      <xdr:colOff>1</xdr:colOff>
      <xdr:row>44</xdr:row>
      <xdr:rowOff>289890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9B4C7B2-9FA5-9055-854B-552694676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34</xdr:col>
      <xdr:colOff>813076</xdr:colOff>
      <xdr:row>36</xdr:row>
      <xdr:rowOff>70954</xdr:rowOff>
    </xdr:from>
    <xdr:to>
      <xdr:col>38</xdr:col>
      <xdr:colOff>289891</xdr:colOff>
      <xdr:row>45</xdr:row>
      <xdr:rowOff>-1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8D9F7A5-8795-C8E3-E817-74C911D4F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35</xdr:col>
      <xdr:colOff>95249</xdr:colOff>
      <xdr:row>59</xdr:row>
      <xdr:rowOff>55217</xdr:rowOff>
    </xdr:from>
    <xdr:to>
      <xdr:col>38</xdr:col>
      <xdr:colOff>552173</xdr:colOff>
      <xdr:row>67</xdr:row>
      <xdr:rowOff>220869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941C82C-F8BF-98B0-01EB-08DC825C5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35</xdr:col>
      <xdr:colOff>40032</xdr:colOff>
      <xdr:row>78</xdr:row>
      <xdr:rowOff>70955</xdr:rowOff>
    </xdr:from>
    <xdr:to>
      <xdr:col>37</xdr:col>
      <xdr:colOff>814456</xdr:colOff>
      <xdr:row>86</xdr:row>
      <xdr:rowOff>276087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F15BAD2-17BC-C4E1-DD7E-2DB8D32D0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34</xdr:col>
      <xdr:colOff>799273</xdr:colOff>
      <xdr:row>99</xdr:row>
      <xdr:rowOff>98563</xdr:rowOff>
    </xdr:from>
    <xdr:to>
      <xdr:col>37</xdr:col>
      <xdr:colOff>593588</xdr:colOff>
      <xdr:row>110</xdr:row>
      <xdr:rowOff>13804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57AD62A-399D-99AD-7257-7537E62A1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34</xdr:col>
      <xdr:colOff>813076</xdr:colOff>
      <xdr:row>123</xdr:row>
      <xdr:rowOff>84759</xdr:rowOff>
    </xdr:from>
    <xdr:to>
      <xdr:col>37</xdr:col>
      <xdr:colOff>800652</xdr:colOff>
      <xdr:row>133</xdr:row>
      <xdr:rowOff>138044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82D07405-89E0-1EDA-A133-091047447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45</xdr:col>
      <xdr:colOff>812802</xdr:colOff>
      <xdr:row>37</xdr:row>
      <xdr:rowOff>25401</xdr:rowOff>
    </xdr:from>
    <xdr:to>
      <xdr:col>48</xdr:col>
      <xdr:colOff>440266</xdr:colOff>
      <xdr:row>44</xdr:row>
      <xdr:rowOff>355600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7C6E649-826F-F857-1681-B1EE93285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45</xdr:col>
      <xdr:colOff>778933</xdr:colOff>
      <xdr:row>59</xdr:row>
      <xdr:rowOff>50800</xdr:rowOff>
    </xdr:from>
    <xdr:to>
      <xdr:col>48</xdr:col>
      <xdr:colOff>999066</xdr:colOff>
      <xdr:row>67</xdr:row>
      <xdr:rowOff>254000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9624968-CB8D-016A-45B3-65EDC9AE1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46</xdr:col>
      <xdr:colOff>118534</xdr:colOff>
      <xdr:row>78</xdr:row>
      <xdr:rowOff>169333</xdr:rowOff>
    </xdr:from>
    <xdr:to>
      <xdr:col>48</xdr:col>
      <xdr:colOff>762000</xdr:colOff>
      <xdr:row>86</xdr:row>
      <xdr:rowOff>254001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1BB1A836-AC78-040B-808D-05EF58472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46</xdr:col>
      <xdr:colOff>67734</xdr:colOff>
      <xdr:row>99</xdr:row>
      <xdr:rowOff>135466</xdr:rowOff>
    </xdr:from>
    <xdr:to>
      <xdr:col>49</xdr:col>
      <xdr:colOff>33867</xdr:colOff>
      <xdr:row>107</xdr:row>
      <xdr:rowOff>84666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88E0B30F-F651-9416-742C-F58F7F182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46</xdr:col>
      <xdr:colOff>67734</xdr:colOff>
      <xdr:row>123</xdr:row>
      <xdr:rowOff>67734</xdr:rowOff>
    </xdr:from>
    <xdr:to>
      <xdr:col>48</xdr:col>
      <xdr:colOff>1117600</xdr:colOff>
      <xdr:row>133</xdr:row>
      <xdr:rowOff>101600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64EACB8-02C3-7DBC-063D-E03865B0C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152401</xdr:rowOff>
    </xdr:from>
    <xdr:to>
      <xdr:col>10</xdr:col>
      <xdr:colOff>19050</xdr:colOff>
      <xdr:row>13</xdr:row>
      <xdr:rowOff>180975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31000FE-90A5-5D41-8A92-31DE002D3F4E}"/>
            </a:ext>
          </a:extLst>
        </xdr:cNvPr>
        <xdr:cNvSpPr/>
      </xdr:nvSpPr>
      <xdr:spPr>
        <a:xfrm>
          <a:off x="0" y="1778001"/>
          <a:ext cx="11804650" cy="1044574"/>
        </a:xfrm>
        <a:prstGeom prst="rect">
          <a:avLst/>
        </a:prstGeom>
        <a:solidFill>
          <a:srgbClr val="9A9779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0</xdr:col>
      <xdr:colOff>483627</xdr:colOff>
      <xdr:row>9</xdr:row>
      <xdr:rowOff>76200</xdr:rowOff>
    </xdr:from>
    <xdr:to>
      <xdr:col>1</xdr:col>
      <xdr:colOff>161925</xdr:colOff>
      <xdr:row>13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6AF212-CDC0-C74B-8682-8835E26A5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343" t="4256" r="11411" b="34042"/>
        <a:stretch>
          <a:fillRect/>
        </a:stretch>
      </xdr:blipFill>
      <xdr:spPr bwMode="auto">
        <a:xfrm>
          <a:off x="483627" y="1905000"/>
          <a:ext cx="1380098" cy="917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1028699</xdr:colOff>
      <xdr:row>8</xdr:row>
      <xdr:rowOff>142875</xdr:rowOff>
    </xdr:from>
    <xdr:to>
      <xdr:col>8</xdr:col>
      <xdr:colOff>723900</xdr:colOff>
      <xdr:row>13</xdr:row>
      <xdr:rowOff>171450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2F92E77-99D5-C743-A8D6-BBC1B91162F9}"/>
            </a:ext>
          </a:extLst>
        </xdr:cNvPr>
        <xdr:cNvSpPr txBox="1"/>
      </xdr:nvSpPr>
      <xdr:spPr bwMode="auto">
        <a:xfrm>
          <a:off x="1028699" y="1768475"/>
          <a:ext cx="9245601" cy="1044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0">
              <a:solidFill>
                <a:srgbClr val="8F2E00"/>
              </a:solidFill>
              <a:latin typeface="Century Schoolbook" pitchFamily="18" charset="0"/>
            </a:rPr>
            <a:t>Stable Isotope</a:t>
          </a:r>
          <a:r>
            <a:rPr lang="en-US" sz="3600" b="0" baseline="0">
              <a:solidFill>
                <a:srgbClr val="8F2E00"/>
              </a:solidFill>
              <a:latin typeface="Century Schoolbook" pitchFamily="18" charset="0"/>
            </a:rPr>
            <a:t> Facility</a:t>
          </a:r>
        </a:p>
      </xdr:txBody>
    </xdr:sp>
    <xdr:clientData/>
  </xdr:twoCellAnchor>
  <xdr:twoCellAnchor editAs="oneCell">
    <xdr:from>
      <xdr:col>0</xdr:col>
      <xdr:colOff>9525</xdr:colOff>
      <xdr:row>0</xdr:row>
      <xdr:rowOff>9525</xdr:rowOff>
    </xdr:from>
    <xdr:to>
      <xdr:col>8</xdr:col>
      <xdr:colOff>127000</xdr:colOff>
      <xdr:row>12</xdr:row>
      <xdr:rowOff>21581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72056523-3B54-9D47-9534-B9A570A19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11801475" cy="24504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rahzeichner/Documents/Caltech/Research/Hayabusa2/raw%20data/uwy-sif-2022-006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l Report "/>
      <sheetName val="QAQC, calculations"/>
      <sheetName val="Analysis Information"/>
      <sheetName val="Contact"/>
      <sheetName val="Run 1"/>
      <sheetName val="Run 2"/>
      <sheetName val="Original 1"/>
      <sheetName val="Original 2"/>
      <sheetName val="Sorted 1"/>
      <sheetName val="Sorted 2"/>
    </sheetNames>
    <sheetDataSet>
      <sheetData sheetId="0"/>
      <sheetData sheetId="1">
        <row r="11">
          <cell r="D11">
            <v>1.1018919205883408</v>
          </cell>
          <cell r="H11">
            <v>0.70523328343513236</v>
          </cell>
          <cell r="M11">
            <v>-46.971019574099998</v>
          </cell>
        </row>
        <row r="12">
          <cell r="M12">
            <v>1.1164486703902403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3E922-6E5E-3F47-8588-542C0A362CD1}">
  <dimension ref="A1:S55"/>
  <sheetViews>
    <sheetView topLeftCell="A3" zoomScale="80" zoomScaleNormal="80" workbookViewId="0">
      <selection activeCell="D28" sqref="D28"/>
    </sheetView>
  </sheetViews>
  <sheetFormatPr baseColWidth="10" defaultRowHeight="16"/>
  <cols>
    <col min="1" max="1" width="19.5" style="32" customWidth="1"/>
    <col min="2" max="2" width="24" style="32" customWidth="1"/>
    <col min="3" max="3" width="14.83203125" style="32" customWidth="1"/>
    <col min="4" max="4" width="18.5" style="32" customWidth="1"/>
    <col min="5" max="5" width="26.6640625" style="32" customWidth="1"/>
    <col min="6" max="6" width="17.83203125" style="32" customWidth="1"/>
    <col min="7" max="7" width="18.1640625" style="32" customWidth="1"/>
    <col min="8" max="9" width="15.83203125" style="32" customWidth="1"/>
    <col min="10" max="10" width="17.5" style="32" customWidth="1"/>
    <col min="11" max="16384" width="10.83203125" style="32"/>
  </cols>
  <sheetData>
    <row r="1" spans="1:19" ht="34">
      <c r="A1" s="93"/>
      <c r="B1" s="94" t="s">
        <v>131</v>
      </c>
      <c r="C1" s="93"/>
      <c r="E1" s="72"/>
      <c r="F1" s="90" t="s">
        <v>115</v>
      </c>
      <c r="G1" s="82" t="s">
        <v>116</v>
      </c>
      <c r="H1" s="91" t="s">
        <v>117</v>
      </c>
      <c r="I1" s="91"/>
    </row>
    <row r="2" spans="1:19">
      <c r="A2" s="95" t="s">
        <v>106</v>
      </c>
      <c r="B2" s="96">
        <v>1.1237199999999999E-2</v>
      </c>
      <c r="C2" s="96"/>
      <c r="E2" s="71" t="s">
        <v>114</v>
      </c>
      <c r="F2" s="72">
        <v>16</v>
      </c>
      <c r="G2" s="72">
        <v>14</v>
      </c>
      <c r="H2" s="32">
        <v>10</v>
      </c>
      <c r="J2" s="72"/>
      <c r="K2" s="72"/>
      <c r="L2" s="72"/>
      <c r="M2" s="72"/>
      <c r="N2" s="72"/>
      <c r="O2" s="72"/>
    </row>
    <row r="3" spans="1:19">
      <c r="A3" s="95" t="s">
        <v>107</v>
      </c>
      <c r="B3" s="96">
        <f>1-B2</f>
        <v>0.98876280000000005</v>
      </c>
      <c r="C3" s="96"/>
      <c r="E3" s="71" t="s">
        <v>132</v>
      </c>
      <c r="F3" s="72">
        <f>B3^15 *B2</f>
        <v>9.4850558150320688E-3</v>
      </c>
      <c r="G3" s="72">
        <f>B3^13 *B2</f>
        <v>9.7018745228647472E-3</v>
      </c>
      <c r="H3" s="32">
        <f>B3^9 *B2</f>
        <v>1.0150493997434191E-2</v>
      </c>
      <c r="J3" s="72"/>
      <c r="K3" s="72"/>
      <c r="L3" s="72"/>
      <c r="M3" s="72"/>
      <c r="N3" s="72"/>
      <c r="O3" s="72"/>
    </row>
    <row r="4" spans="1:19">
      <c r="A4" s="95" t="s">
        <v>108</v>
      </c>
      <c r="B4" s="96">
        <f>B2/B3</f>
        <v>1.1364909764000019E-2</v>
      </c>
      <c r="C4" s="96"/>
      <c r="E4" s="71" t="s">
        <v>133</v>
      </c>
      <c r="F4" s="72">
        <f>B3^14 *B2^2</f>
        <v>1.0779680344434312E-4</v>
      </c>
      <c r="G4" s="72">
        <f>B3^12 *B2^2</f>
        <v>1.102609284940086E-4</v>
      </c>
      <c r="H4" s="32">
        <f>B3^8 *B2^2</f>
        <v>1.1535944834086342E-4</v>
      </c>
      <c r="J4" s="72"/>
      <c r="K4" s="72"/>
      <c r="L4" s="72"/>
      <c r="M4" s="72"/>
      <c r="N4" s="72"/>
      <c r="O4" s="72"/>
    </row>
    <row r="5" spans="1:19">
      <c r="A5" s="95" t="s">
        <v>109</v>
      </c>
      <c r="B5" s="96">
        <f>B2^2*B3^14</f>
        <v>1.0779680344434312E-4</v>
      </c>
      <c r="C5" s="96">
        <f>B5/B4</f>
        <v>9.4850558150320688E-3</v>
      </c>
      <c r="F5" s="72"/>
      <c r="G5" s="72"/>
      <c r="H5" s="72"/>
      <c r="I5" s="72"/>
      <c r="J5" s="72"/>
      <c r="K5" s="72"/>
      <c r="L5" s="72"/>
      <c r="M5" s="72"/>
      <c r="N5" s="72"/>
      <c r="O5" s="72"/>
    </row>
    <row r="6" spans="1:19">
      <c r="B6" s="72"/>
      <c r="C6" s="72"/>
      <c r="D6" s="72"/>
      <c r="F6" s="72"/>
      <c r="G6" s="72"/>
      <c r="H6" s="72"/>
      <c r="I6" s="72"/>
      <c r="J6" s="72"/>
      <c r="K6" s="72"/>
      <c r="L6" s="72"/>
      <c r="M6" s="72"/>
      <c r="N6" s="72"/>
      <c r="O6" s="72"/>
    </row>
    <row r="7" spans="1:19">
      <c r="B7" s="72"/>
      <c r="C7" s="72"/>
      <c r="D7" s="72"/>
      <c r="F7" s="72"/>
      <c r="G7" s="72"/>
      <c r="H7" s="72"/>
      <c r="I7" s="72"/>
      <c r="J7" s="72"/>
      <c r="K7" s="72"/>
      <c r="L7" s="72"/>
      <c r="M7" s="72"/>
      <c r="N7" s="72"/>
      <c r="O7" s="72"/>
    </row>
    <row r="8" spans="1:19">
      <c r="A8" s="50" t="s">
        <v>126</v>
      </c>
      <c r="F8" s="72"/>
      <c r="G8" s="72"/>
      <c r="H8" s="72"/>
      <c r="I8" s="72"/>
      <c r="J8" s="72"/>
      <c r="K8" s="72"/>
      <c r="L8" s="72"/>
      <c r="M8" s="72"/>
      <c r="N8" s="72"/>
      <c r="O8" s="72"/>
    </row>
    <row r="9" spans="1:19" s="78" customFormat="1" ht="46" customHeight="1">
      <c r="A9" s="74" t="s">
        <v>110</v>
      </c>
      <c r="B9" s="74" t="s">
        <v>111</v>
      </c>
      <c r="C9" s="74" t="s">
        <v>112</v>
      </c>
      <c r="D9" s="74" t="s">
        <v>106</v>
      </c>
      <c r="E9" s="74" t="s">
        <v>107</v>
      </c>
      <c r="F9" s="80" t="s">
        <v>118</v>
      </c>
      <c r="G9" s="80" t="s">
        <v>119</v>
      </c>
      <c r="H9" s="81" t="s">
        <v>113</v>
      </c>
      <c r="I9" s="81" t="s">
        <v>163</v>
      </c>
      <c r="J9" s="86" t="s">
        <v>120</v>
      </c>
      <c r="K9" s="82" t="s">
        <v>121</v>
      </c>
      <c r="L9" s="82" t="s">
        <v>122</v>
      </c>
      <c r="M9" s="82" t="s">
        <v>163</v>
      </c>
      <c r="N9" s="87" t="s">
        <v>123</v>
      </c>
      <c r="O9" s="87" t="s">
        <v>124</v>
      </c>
      <c r="P9" s="88" t="s">
        <v>125</v>
      </c>
      <c r="Q9" s="88" t="s">
        <v>163</v>
      </c>
      <c r="R9" s="89"/>
      <c r="S9" s="89"/>
    </row>
    <row r="10" spans="1:19">
      <c r="A10" s="72">
        <v>0</v>
      </c>
      <c r="B10" s="72">
        <f>(A10/1000)+1</f>
        <v>1</v>
      </c>
      <c r="C10" s="72">
        <f t="shared" ref="C10:C25" si="0">B10*$B$4</f>
        <v>1.1364909764000019E-2</v>
      </c>
      <c r="D10" s="72">
        <f>C10/(1+C10)</f>
        <v>1.1237199999999998E-2</v>
      </c>
      <c r="E10" s="72">
        <f>1-D10</f>
        <v>0.98876280000000005</v>
      </c>
      <c r="F10" s="73">
        <f>E10^14*D10^2</f>
        <v>1.0779680344434309E-4</v>
      </c>
      <c r="G10" s="73">
        <f>F10/E10^16</f>
        <v>1.2916117394386293E-4</v>
      </c>
      <c r="H10" s="73">
        <f>G10*((16*15) /2)</f>
        <v>1.5499340873263552E-2</v>
      </c>
      <c r="I10" s="73">
        <f>H10*$F$31</f>
        <v>1.2853214383072926E-2</v>
      </c>
      <c r="J10" s="83">
        <f t="shared" ref="J10:J25" si="1">E10^12*D10^2</f>
        <v>1.1026092849400857E-4</v>
      </c>
      <c r="K10" s="84">
        <f>J10/E10^14</f>
        <v>1.2916117394386298E-4</v>
      </c>
      <c r="L10" s="84">
        <f>K10*((14*13)/2)</f>
        <v>1.1753666828891531E-2</v>
      </c>
      <c r="M10" s="84">
        <f>L10*$F$30</f>
        <v>9.9747411343182654E-3</v>
      </c>
      <c r="N10" s="85">
        <f t="shared" ref="N10:N25" si="2">E10^8*D10^2</f>
        <v>1.1535944834086341E-4</v>
      </c>
      <c r="O10" s="85">
        <f>N10/E10^10</f>
        <v>1.2916117394386295E-4</v>
      </c>
      <c r="P10" s="12">
        <f>O10*((10*9)/2)</f>
        <v>5.8122528274738329E-3</v>
      </c>
      <c r="Q10" s="12">
        <f>P10*$F$28</f>
        <v>5.0175693816525667E-3</v>
      </c>
    </row>
    <row r="11" spans="1:19">
      <c r="A11" s="72">
        <v>-5</v>
      </c>
      <c r="B11" s="72">
        <f t="shared" ref="B11:B25" si="3">(A11/1000)+1</f>
        <v>0.995</v>
      </c>
      <c r="C11" s="72">
        <f t="shared" si="0"/>
        <v>1.1308085215180019E-2</v>
      </c>
      <c r="D11" s="72">
        <f>C11/(1+C11)</f>
        <v>1.1181642251751554E-2</v>
      </c>
      <c r="E11" s="72">
        <f t="shared" ref="E11:E25" si="4">1-D11</f>
        <v>0.98881835774824844</v>
      </c>
      <c r="F11" s="73">
        <f>E11^14*D11^2</f>
        <v>1.0681751625905236E-4</v>
      </c>
      <c r="G11" s="73">
        <f t="shared" ref="G11:G14" si="5">F11/E11^16</f>
        <v>1.278727912337729E-4</v>
      </c>
      <c r="H11" s="73">
        <f>G11*((16*15) /2)</f>
        <v>1.5344734948052748E-2</v>
      </c>
      <c r="I11" s="73">
        <f t="shared" ref="I11:I25" si="6">H11*$F$31</f>
        <v>1.2725003569601774E-2</v>
      </c>
      <c r="J11" s="83">
        <f t="shared" si="1"/>
        <v>1.0924697846567155E-4</v>
      </c>
      <c r="K11" s="84">
        <f t="shared" ref="K11:K25" si="7">J11/E11^14</f>
        <v>1.278727912337729E-4</v>
      </c>
      <c r="L11" s="84">
        <f t="shared" ref="L11:L25" si="8">K11*((14*13)/2)</f>
        <v>1.1636424002273334E-2</v>
      </c>
      <c r="M11" s="84">
        <f t="shared" ref="M11:M25" si="9">L11*$F$30</f>
        <v>9.8752430915034373E-3</v>
      </c>
      <c r="N11" s="85">
        <f t="shared" si="2"/>
        <v>1.1427292699936173E-4</v>
      </c>
      <c r="O11" s="85">
        <f t="shared" ref="O11:O25" si="10">N11/E11^10</f>
        <v>1.278727912337729E-4</v>
      </c>
      <c r="P11" s="12">
        <f t="shared" ref="P11:P25" si="11">O11*((10*9)/2)</f>
        <v>5.7542756055197807E-3</v>
      </c>
      <c r="Q11" s="12">
        <f>P11*$F$28</f>
        <v>4.9675191270705816E-3</v>
      </c>
    </row>
    <row r="12" spans="1:19">
      <c r="A12" s="72">
        <v>-10</v>
      </c>
      <c r="B12" s="72">
        <f t="shared" si="3"/>
        <v>0.99</v>
      </c>
      <c r="C12" s="72">
        <f>B12*$B$4</f>
        <v>1.1251260666360018E-2</v>
      </c>
      <c r="D12" s="72">
        <f>C12/(1+C12)</f>
        <v>1.1126078259666194E-2</v>
      </c>
      <c r="E12" s="72">
        <f>1-D12</f>
        <v>0.98887392174033384</v>
      </c>
      <c r="F12" s="73">
        <f>E12^14*D12^2</f>
        <v>1.0584178520764198E-4</v>
      </c>
      <c r="G12" s="73">
        <f t="shared" si="5"/>
        <v>1.2659086658238009E-4</v>
      </c>
      <c r="H12" s="73">
        <f t="shared" ref="H12:H25" si="12">G12*((16*15) /2)</f>
        <v>1.5190903989885611E-2</v>
      </c>
      <c r="I12" s="73">
        <f t="shared" si="6"/>
        <v>1.2597435416849777E-2</v>
      </c>
      <c r="J12" s="83">
        <f t="shared" si="1"/>
        <v>1.0823689084048018E-4</v>
      </c>
      <c r="K12" s="84">
        <f t="shared" si="7"/>
        <v>1.2659086658238012E-4</v>
      </c>
      <c r="L12" s="84">
        <f t="shared" si="8"/>
        <v>1.1519768858996591E-2</v>
      </c>
      <c r="M12" s="84">
        <f t="shared" si="9"/>
        <v>9.7762437857453321E-3</v>
      </c>
      <c r="N12" s="85">
        <f t="shared" si="2"/>
        <v>1.1319092592627456E-4</v>
      </c>
      <c r="O12" s="85">
        <f t="shared" si="10"/>
        <v>1.2659086658238012E-4</v>
      </c>
      <c r="P12" s="12">
        <f t="shared" si="11"/>
        <v>5.6965889962071053E-3</v>
      </c>
      <c r="Q12" s="12">
        <f t="shared" ref="Q12:Q25" si="13">P12*$F$28</f>
        <v>4.9177197509576824E-3</v>
      </c>
    </row>
    <row r="13" spans="1:19">
      <c r="A13" s="72">
        <v>-15</v>
      </c>
      <c r="B13" s="72">
        <f t="shared" si="3"/>
        <v>0.98499999999999999</v>
      </c>
      <c r="C13" s="72">
        <f t="shared" si="0"/>
        <v>1.1194436117540018E-2</v>
      </c>
      <c r="D13" s="72">
        <f>C13/(1+C13)</f>
        <v>1.1070508022691286E-2</v>
      </c>
      <c r="E13" s="72">
        <f t="shared" si="4"/>
        <v>0.98892949197730873</v>
      </c>
      <c r="F13" s="73">
        <f t="shared" ref="F13:F25" si="14">E13^14*D13^2</f>
        <v>1.0486962217912392E-4</v>
      </c>
      <c r="G13" s="73">
        <f t="shared" si="5"/>
        <v>1.2531539998968442E-4</v>
      </c>
      <c r="H13" s="73">
        <f t="shared" si="12"/>
        <v>1.503784799876213E-2</v>
      </c>
      <c r="I13" s="73">
        <f t="shared" si="6"/>
        <v>1.2470509924816931E-2</v>
      </c>
      <c r="J13" s="83">
        <f t="shared" si="1"/>
        <v>1.0723067653008358E-4</v>
      </c>
      <c r="K13" s="84">
        <f t="shared" si="7"/>
        <v>1.2531539998968442E-4</v>
      </c>
      <c r="L13" s="84">
        <f t="shared" si="8"/>
        <v>1.1403701399061281E-2</v>
      </c>
      <c r="M13" s="84">
        <f t="shared" si="9"/>
        <v>9.6777432170439357E-3</v>
      </c>
      <c r="N13" s="85">
        <f t="shared" si="2"/>
        <v>1.1211345368566564E-4</v>
      </c>
      <c r="O13" s="85">
        <f t="shared" si="10"/>
        <v>1.2531539998968444E-4</v>
      </c>
      <c r="P13" s="12">
        <f t="shared" si="11"/>
        <v>5.6391929995358E-3</v>
      </c>
      <c r="Q13" s="12">
        <f t="shared" si="13"/>
        <v>4.8681712533138622E-3</v>
      </c>
    </row>
    <row r="14" spans="1:19">
      <c r="A14" s="72">
        <v>-20</v>
      </c>
      <c r="B14" s="72">
        <f t="shared" si="3"/>
        <v>0.98</v>
      </c>
      <c r="C14" s="72">
        <f t="shared" si="0"/>
        <v>1.1137611568720018E-2</v>
      </c>
      <c r="D14" s="72">
        <f>C14/(1+C14)</f>
        <v>1.1014931539773972E-2</v>
      </c>
      <c r="E14" s="72">
        <f t="shared" si="4"/>
        <v>0.98898506846022605</v>
      </c>
      <c r="F14" s="73">
        <f t="shared" si="14"/>
        <v>1.039010390867185E-4</v>
      </c>
      <c r="G14" s="73">
        <f t="shared" si="5"/>
        <v>1.2404639145568598E-4</v>
      </c>
      <c r="H14" s="73">
        <f>G14*((16*15) /2)</f>
        <v>1.4885566974682317E-2</v>
      </c>
      <c r="I14" s="73">
        <f>H14*$F$31</f>
        <v>1.2344227093503239E-2</v>
      </c>
      <c r="J14" s="83">
        <f t="shared" si="1"/>
        <v>1.0622834646555423E-4</v>
      </c>
      <c r="K14" s="84">
        <f t="shared" si="7"/>
        <v>1.2404639145568598E-4</v>
      </c>
      <c r="L14" s="84">
        <f t="shared" si="8"/>
        <v>1.1288221622467424E-2</v>
      </c>
      <c r="M14" s="84">
        <f t="shared" si="9"/>
        <v>9.5797413853992604E-3</v>
      </c>
      <c r="N14" s="85">
        <f t="shared" si="2"/>
        <v>1.1104051885258135E-4</v>
      </c>
      <c r="O14" s="85">
        <f t="shared" si="10"/>
        <v>1.2404639145568598E-4</v>
      </c>
      <c r="P14" s="12">
        <f t="shared" si="11"/>
        <v>5.5820876155058688E-3</v>
      </c>
      <c r="Q14" s="12">
        <f t="shared" si="13"/>
        <v>4.8188736341391245E-3</v>
      </c>
    </row>
    <row r="15" spans="1:19" s="97" customFormat="1">
      <c r="A15" s="97">
        <v>-24</v>
      </c>
      <c r="B15" s="97">
        <f t="shared" si="3"/>
        <v>0.97599999999999998</v>
      </c>
      <c r="C15" s="97">
        <f t="shared" si="0"/>
        <v>1.1092151929664017E-2</v>
      </c>
      <c r="D15" s="97">
        <f t="shared" ref="D15:D25" si="15">C15/(1+C15)</f>
        <v>1.0970465855653913E-2</v>
      </c>
      <c r="E15" s="97">
        <f t="shared" si="4"/>
        <v>0.98902953414434613</v>
      </c>
      <c r="F15" s="99">
        <f t="shared" si="14"/>
        <v>1.0312875818795935E-4</v>
      </c>
      <c r="G15" s="99">
        <f>F15/E15^16</f>
        <v>1.2303583443074918E-4</v>
      </c>
      <c r="H15" s="99">
        <f t="shared" si="12"/>
        <v>1.4764300131689901E-2</v>
      </c>
      <c r="I15" s="73">
        <f t="shared" si="6"/>
        <v>1.2243663544170075E-2</v>
      </c>
      <c r="J15" s="100">
        <f t="shared" si="1"/>
        <v>1.0542928642905365E-4</v>
      </c>
      <c r="K15" s="100">
        <f t="shared" si="7"/>
        <v>1.2303583443074918E-4</v>
      </c>
      <c r="L15" s="100">
        <f t="shared" si="8"/>
        <v>1.1196260933198175E-2</v>
      </c>
      <c r="M15" s="84">
        <f t="shared" si="9"/>
        <v>9.5016990107643518E-3</v>
      </c>
      <c r="N15" s="101">
        <f t="shared" si="2"/>
        <v>1.1018544368898143E-4</v>
      </c>
      <c r="O15" s="101">
        <f t="shared" si="10"/>
        <v>1.2303583443074918E-4</v>
      </c>
      <c r="P15" s="101">
        <f t="shared" si="11"/>
        <v>5.5366125493837128E-3</v>
      </c>
      <c r="Q15" s="12">
        <f t="shared" si="13"/>
        <v>4.7796161712970742E-3</v>
      </c>
    </row>
    <row r="16" spans="1:19">
      <c r="A16" s="72">
        <v>-25</v>
      </c>
      <c r="B16" s="72">
        <f>(A16/1000)+1</f>
        <v>0.97499999999999998</v>
      </c>
      <c r="C16" s="72">
        <f t="shared" si="0"/>
        <v>1.1080787019900019E-2</v>
      </c>
      <c r="D16" s="72">
        <f t="shared" si="15"/>
        <v>1.0959348809861151E-2</v>
      </c>
      <c r="E16" s="72">
        <f t="shared" si="4"/>
        <v>0.98904065119013884</v>
      </c>
      <c r="F16" s="73">
        <f t="shared" si="14"/>
        <v>1.0293604786789571E-4</v>
      </c>
      <c r="G16" s="73">
        <f>F16/E16^16</f>
        <v>1.227838409803847E-4</v>
      </c>
      <c r="H16" s="73">
        <f t="shared" si="12"/>
        <v>1.4734060917646164E-2</v>
      </c>
      <c r="I16" s="73">
        <f t="shared" si="6"/>
        <v>1.2218586922908701E-2</v>
      </c>
      <c r="J16" s="83">
        <f t="shared" si="1"/>
        <v>1.0522991159741706E-4</v>
      </c>
      <c r="K16" s="84">
        <f t="shared" si="7"/>
        <v>1.2278384098038473E-4</v>
      </c>
      <c r="L16" s="84">
        <f t="shared" si="8"/>
        <v>1.1173329529215011E-2</v>
      </c>
      <c r="M16" s="84">
        <f t="shared" si="9"/>
        <v>9.4822382908113009E-3</v>
      </c>
      <c r="N16" s="85">
        <f t="shared" si="2"/>
        <v>1.0997213001306254E-4</v>
      </c>
      <c r="O16" s="85">
        <f t="shared" si="10"/>
        <v>1.227838409803847E-4</v>
      </c>
      <c r="P16" s="12">
        <f t="shared" si="11"/>
        <v>5.525272844117312E-3</v>
      </c>
      <c r="Q16" s="12">
        <f t="shared" si="13"/>
        <v>4.7698268934334709E-3</v>
      </c>
    </row>
    <row r="17" spans="1:17" s="97" customFormat="1">
      <c r="A17" s="99">
        <v>-25.2</v>
      </c>
      <c r="B17" s="99">
        <f>(A17/1000)+1</f>
        <v>0.9748</v>
      </c>
      <c r="C17" s="99">
        <f t="shared" si="0"/>
        <v>1.1078514037947218E-2</v>
      </c>
      <c r="D17" s="99">
        <f t="shared" si="15"/>
        <v>1.0957125370712235E-2</v>
      </c>
      <c r="E17" s="99">
        <f t="shared" si="4"/>
        <v>0.98904287462928775</v>
      </c>
      <c r="F17" s="99">
        <f t="shared" si="14"/>
        <v>1.0289752309921804E-4</v>
      </c>
      <c r="G17" s="99">
        <f>F17/E17^16</f>
        <v>1.2273347328899359E-4</v>
      </c>
      <c r="H17" s="99">
        <f t="shared" si="12"/>
        <v>1.472801679467923E-2</v>
      </c>
      <c r="I17" s="73">
        <f t="shared" si="6"/>
        <v>1.221357468342788E-2</v>
      </c>
      <c r="J17" s="100">
        <f t="shared" si="1"/>
        <v>1.051900553778702E-4</v>
      </c>
      <c r="K17" s="100">
        <f t="shared" si="7"/>
        <v>1.2273347328899359E-4</v>
      </c>
      <c r="L17" s="100">
        <f t="shared" si="8"/>
        <v>1.1168746069298416E-2</v>
      </c>
      <c r="M17" s="84">
        <f t="shared" si="9"/>
        <v>9.4783485407585605E-3</v>
      </c>
      <c r="N17" s="101">
        <f t="shared" si="2"/>
        <v>1.0992948913770728E-4</v>
      </c>
      <c r="O17" s="101">
        <f t="shared" si="10"/>
        <v>1.2273347328899359E-4</v>
      </c>
      <c r="P17" s="101">
        <f t="shared" si="11"/>
        <v>5.5230062980047116E-3</v>
      </c>
      <c r="Q17" s="12">
        <f t="shared" si="13"/>
        <v>4.7678702420774028E-3</v>
      </c>
    </row>
    <row r="18" spans="1:17">
      <c r="A18" s="72">
        <v>-30</v>
      </c>
      <c r="B18" s="72">
        <f t="shared" si="3"/>
        <v>0.97</v>
      </c>
      <c r="C18" s="72">
        <f t="shared" si="0"/>
        <v>1.1023962471080019E-2</v>
      </c>
      <c r="D18" s="72">
        <f t="shared" si="15"/>
        <v>1.0903759831899489E-2</v>
      </c>
      <c r="E18" s="72">
        <f t="shared" si="4"/>
        <v>0.98909624016810049</v>
      </c>
      <c r="F18" s="73">
        <f t="shared" si="14"/>
        <v>1.0197466048441824E-4</v>
      </c>
      <c r="G18" s="73">
        <f>F18/E18^16</f>
        <v>1.2152774856378067E-4</v>
      </c>
      <c r="H18" s="73">
        <f t="shared" si="12"/>
        <v>1.4583329827653681E-2</v>
      </c>
      <c r="I18" s="73">
        <f t="shared" si="6"/>
        <v>1.2093589413033319E-2</v>
      </c>
      <c r="J18" s="83">
        <f t="shared" si="1"/>
        <v>1.0423538289568019E-4</v>
      </c>
      <c r="K18" s="84">
        <f t="shared" si="7"/>
        <v>1.2152774856378069E-4</v>
      </c>
      <c r="L18" s="84">
        <f t="shared" si="8"/>
        <v>1.1059025119304042E-2</v>
      </c>
      <c r="M18" s="84">
        <f t="shared" si="9"/>
        <v>9.3852339332800572E-3</v>
      </c>
      <c r="N18" s="85">
        <f t="shared" si="2"/>
        <v>1.0890829576415778E-4</v>
      </c>
      <c r="O18" s="85">
        <f t="shared" si="10"/>
        <v>1.2152774856378068E-4</v>
      </c>
      <c r="P18" s="12">
        <f t="shared" si="11"/>
        <v>5.4687486853701303E-3</v>
      </c>
      <c r="Q18" s="12">
        <f t="shared" si="13"/>
        <v>4.7210310311969006E-3</v>
      </c>
    </row>
    <row r="19" spans="1:17">
      <c r="A19" s="73">
        <v>-3.92</v>
      </c>
      <c r="B19" s="73">
        <f t="shared" si="3"/>
        <v>0.99607999999999997</v>
      </c>
      <c r="C19" s="73">
        <f t="shared" si="0"/>
        <v>1.1320359317725138E-2</v>
      </c>
      <c r="D19" s="73">
        <f t="shared" si="15"/>
        <v>1.1193643254015256E-2</v>
      </c>
      <c r="E19" s="73">
        <f t="shared" si="4"/>
        <v>0.98880635674598472</v>
      </c>
      <c r="F19" s="73">
        <f t="shared" si="14"/>
        <v>1.0702874159368294E-4</v>
      </c>
      <c r="G19" s="73">
        <f t="shared" ref="G19:G25" si="16">F19/E19^16</f>
        <v>1.2815053508240639E-4</v>
      </c>
      <c r="H19" s="73">
        <f t="shared" si="12"/>
        <v>1.5378064209888766E-2</v>
      </c>
      <c r="I19" s="73">
        <f t="shared" si="6"/>
        <v>1.2752642689943135E-2</v>
      </c>
      <c r="J19" s="83">
        <f t="shared" si="1"/>
        <v>1.0946566500851625E-4</v>
      </c>
      <c r="K19" s="84">
        <f t="shared" si="7"/>
        <v>1.2815053508240639E-4</v>
      </c>
      <c r="L19" s="84">
        <f t="shared" si="8"/>
        <v>1.1661698692498982E-2</v>
      </c>
      <c r="M19" s="84">
        <f t="shared" si="9"/>
        <v>9.8966924396873771E-3</v>
      </c>
      <c r="N19" s="85">
        <f t="shared" si="2"/>
        <v>1.1450723316267221E-4</v>
      </c>
      <c r="O19" s="85">
        <f t="shared" si="10"/>
        <v>1.2815053508240639E-4</v>
      </c>
      <c r="P19" s="12">
        <f t="shared" si="11"/>
        <v>5.766774078708287E-3</v>
      </c>
      <c r="Q19" s="12">
        <f t="shared" si="13"/>
        <v>4.9783087396785579E-3</v>
      </c>
    </row>
    <row r="20" spans="1:17">
      <c r="A20" s="73">
        <v>-11.81</v>
      </c>
      <c r="B20" s="73">
        <f t="shared" si="3"/>
        <v>0.98819000000000001</v>
      </c>
      <c r="C20" s="73">
        <f t="shared" si="0"/>
        <v>1.1230690179687178E-2</v>
      </c>
      <c r="D20" s="73">
        <f t="shared" si="15"/>
        <v>1.1105962555083823E-2</v>
      </c>
      <c r="E20" s="73">
        <f t="shared" si="4"/>
        <v>0.98889403744491622</v>
      </c>
      <c r="F20" s="73">
        <f t="shared" si="14"/>
        <v>1.0548944953911647E-4</v>
      </c>
      <c r="G20" s="73">
        <f t="shared" si="16"/>
        <v>1.26128401912122E-4</v>
      </c>
      <c r="H20" s="73">
        <f t="shared" si="12"/>
        <v>1.5135408229454641E-2</v>
      </c>
      <c r="I20" s="73">
        <f t="shared" si="6"/>
        <v>1.2551414175559359E-2</v>
      </c>
      <c r="J20" s="83">
        <f t="shared" si="1"/>
        <v>1.0787219340480453E-4</v>
      </c>
      <c r="K20" s="84">
        <f t="shared" si="7"/>
        <v>1.2612840191212197E-4</v>
      </c>
      <c r="L20" s="84">
        <f t="shared" si="8"/>
        <v>1.14776845740031E-2</v>
      </c>
      <c r="M20" s="84">
        <f t="shared" si="9"/>
        <v>9.7405289867175879E-3</v>
      </c>
      <c r="N20" s="85">
        <f t="shared" si="2"/>
        <v>1.12800357545329E-4</v>
      </c>
      <c r="O20" s="85">
        <f t="shared" si="10"/>
        <v>1.2612840191212197E-4</v>
      </c>
      <c r="P20" s="12">
        <f t="shared" si="11"/>
        <v>5.6757780860454887E-3</v>
      </c>
      <c r="Q20" s="12">
        <f t="shared" si="13"/>
        <v>4.8997542238667638E-3</v>
      </c>
    </row>
    <row r="21" spans="1:17">
      <c r="A21" s="72">
        <f>D36</f>
        <v>-20.352243148830993</v>
      </c>
      <c r="B21" s="72">
        <f t="shared" si="3"/>
        <v>0.979647756851169</v>
      </c>
      <c r="C21" s="72">
        <f t="shared" si="0"/>
        <v>1.1133608357118567E-2</v>
      </c>
      <c r="D21" s="72">
        <f t="shared" si="15"/>
        <v>1.1011016017169443E-2</v>
      </c>
      <c r="E21" s="72">
        <f t="shared" si="4"/>
        <v>0.98898898398283053</v>
      </c>
      <c r="F21" s="73">
        <f t="shared" si="14"/>
        <v>1.0383293902996684E-4</v>
      </c>
      <c r="G21" s="73">
        <f t="shared" si="16"/>
        <v>1.2395723504970041E-4</v>
      </c>
      <c r="H21" s="73">
        <f>G21*((16*15) /2)</f>
        <v>1.4874868205964049E-2</v>
      </c>
      <c r="I21" s="73">
        <f t="shared" si="6"/>
        <v>1.2335354873123337E-2</v>
      </c>
      <c r="J21" s="83">
        <f t="shared" si="1"/>
        <v>1.0615788042945254E-4</v>
      </c>
      <c r="K21" s="84">
        <f t="shared" si="7"/>
        <v>1.2395723504970041E-4</v>
      </c>
      <c r="L21" s="84">
        <f t="shared" si="8"/>
        <v>1.1280108389522737E-2</v>
      </c>
      <c r="M21" s="84">
        <f t="shared" si="9"/>
        <v>9.5728560959348064E-3</v>
      </c>
      <c r="N21" s="85">
        <f t="shared" si="2"/>
        <v>1.1096510337379671E-4</v>
      </c>
      <c r="O21" s="85">
        <f t="shared" si="10"/>
        <v>1.2395723504970041E-4</v>
      </c>
      <c r="P21" s="12">
        <f t="shared" si="11"/>
        <v>5.5780755772365182E-3</v>
      </c>
      <c r="Q21" s="12">
        <f t="shared" si="13"/>
        <v>4.8154101439958266E-3</v>
      </c>
    </row>
    <row r="22" spans="1:17">
      <c r="A22" s="72">
        <f>D37</f>
        <v>-12.644453810510715</v>
      </c>
      <c r="B22" s="72">
        <f t="shared" si="3"/>
        <v>0.98735554618948929</v>
      </c>
      <c r="C22" s="72">
        <f t="shared" si="0"/>
        <v>1.1221206687428499E-2</v>
      </c>
      <c r="D22" s="72">
        <f t="shared" si="15"/>
        <v>1.1096688452754144E-2</v>
      </c>
      <c r="E22" s="72">
        <f t="shared" si="4"/>
        <v>0.98890331154724587</v>
      </c>
      <c r="F22" s="73">
        <f t="shared" si="14"/>
        <v>1.0532717189299415E-4</v>
      </c>
      <c r="G22" s="73">
        <f t="shared" si="16"/>
        <v>1.2591547952199006E-4</v>
      </c>
      <c r="H22" s="73">
        <f t="shared" si="12"/>
        <v>1.5109857542638806E-2</v>
      </c>
      <c r="I22" s="73">
        <f t="shared" si="6"/>
        <v>1.2530225632255225E-2</v>
      </c>
      <c r="J22" s="83">
        <f t="shared" si="1"/>
        <v>1.0770423014557694E-4</v>
      </c>
      <c r="K22" s="84">
        <f t="shared" si="7"/>
        <v>1.2591547952199006E-4</v>
      </c>
      <c r="L22" s="84">
        <f t="shared" si="8"/>
        <v>1.1458308636501095E-2</v>
      </c>
      <c r="M22" s="84">
        <f t="shared" si="9"/>
        <v>9.7240856109072262E-3</v>
      </c>
      <c r="N22" s="85">
        <f t="shared" si="2"/>
        <v>1.1262049605360693E-4</v>
      </c>
      <c r="O22" s="85">
        <f t="shared" si="10"/>
        <v>1.2591547952199006E-4</v>
      </c>
      <c r="P22" s="12">
        <f t="shared" si="11"/>
        <v>5.6661965784895523E-3</v>
      </c>
      <c r="Q22" s="12">
        <f t="shared" si="13"/>
        <v>4.8914827531703255E-3</v>
      </c>
    </row>
    <row r="23" spans="1:17">
      <c r="A23" s="72">
        <f>D38</f>
        <v>-16.713071237317468</v>
      </c>
      <c r="B23" s="72">
        <f t="shared" si="3"/>
        <v>0.98328692876268253</v>
      </c>
      <c r="C23" s="72">
        <f t="shared" si="0"/>
        <v>1.1174967217508602E-2</v>
      </c>
      <c r="D23" s="72">
        <f t="shared" si="15"/>
        <v>1.105146743125892E-2</v>
      </c>
      <c r="E23" s="72">
        <f t="shared" si="4"/>
        <v>0.98894853256874105</v>
      </c>
      <c r="F23" s="73">
        <f t="shared" si="14"/>
        <v>1.0453736805666568E-4</v>
      </c>
      <c r="G23" s="73">
        <f t="shared" si="16"/>
        <v>1.2487989231239194E-4</v>
      </c>
      <c r="H23" s="73">
        <f t="shared" si="12"/>
        <v>1.4985587077487032E-2</v>
      </c>
      <c r="I23" s="73">
        <f t="shared" si="6"/>
        <v>1.2427171254450343E-2</v>
      </c>
      <c r="J23" s="83">
        <f t="shared" si="1"/>
        <v>1.0688682599400695E-4</v>
      </c>
      <c r="K23" s="84">
        <f t="shared" si="7"/>
        <v>1.2487989231239197E-4</v>
      </c>
      <c r="L23" s="84">
        <f t="shared" si="8"/>
        <v>1.136407020042767E-2</v>
      </c>
      <c r="M23" s="84">
        <f t="shared" si="9"/>
        <v>9.6441102280399142E-3</v>
      </c>
      <c r="N23" s="85">
        <f t="shared" si="2"/>
        <v>1.1174533951322492E-4</v>
      </c>
      <c r="O23" s="85">
        <f t="shared" si="10"/>
        <v>1.2487989231239197E-4</v>
      </c>
      <c r="P23" s="12">
        <f t="shared" si="11"/>
        <v>5.6195951540576388E-3</v>
      </c>
      <c r="Q23" s="12">
        <f t="shared" si="13"/>
        <v>4.8512529339742819E-3</v>
      </c>
    </row>
    <row r="24" spans="1:17">
      <c r="A24" s="72">
        <f>D39</f>
        <v>-17.106026968804812</v>
      </c>
      <c r="B24" s="72">
        <f t="shared" si="3"/>
        <v>0.98289397303119519</v>
      </c>
      <c r="C24" s="72">
        <f t="shared" si="0"/>
        <v>1.1170501311079002E-2</v>
      </c>
      <c r="D24" s="72">
        <f t="shared" si="15"/>
        <v>1.1047099669734611E-2</v>
      </c>
      <c r="E24" s="72">
        <f t="shared" si="4"/>
        <v>0.98895290033026539</v>
      </c>
      <c r="F24" s="73">
        <f t="shared" si="14"/>
        <v>1.0446121268866943E-4</v>
      </c>
      <c r="G24" s="73">
        <f t="shared" si="16"/>
        <v>1.2478009954081771E-4</v>
      </c>
      <c r="H24" s="73">
        <f t="shared" si="12"/>
        <v>1.4973611944898125E-2</v>
      </c>
      <c r="I24" s="73">
        <f t="shared" si="6"/>
        <v>1.2417240577546756E-2</v>
      </c>
      <c r="J24" s="83">
        <f t="shared" si="1"/>
        <v>1.0680801559577825E-4</v>
      </c>
      <c r="K24" s="84">
        <f t="shared" si="7"/>
        <v>1.2478009954081771E-4</v>
      </c>
      <c r="L24" s="84">
        <f t="shared" si="8"/>
        <v>1.1354989058214412E-2</v>
      </c>
      <c r="M24" s="84">
        <f t="shared" si="9"/>
        <v>9.6364035230516037E-3</v>
      </c>
      <c r="N24" s="85">
        <f t="shared" si="2"/>
        <v>1.116609741607662E-4</v>
      </c>
      <c r="O24" s="85">
        <f t="shared" si="10"/>
        <v>1.2478009954081771E-4</v>
      </c>
      <c r="P24" s="12">
        <f t="shared" si="11"/>
        <v>5.6151044793367969E-3</v>
      </c>
      <c r="Q24" s="12">
        <f t="shared" si="13"/>
        <v>4.8473762492100281E-3</v>
      </c>
    </row>
    <row r="25" spans="1:17">
      <c r="A25" s="72">
        <f>D40</f>
        <v>-23.633026104479924</v>
      </c>
      <c r="B25" s="72">
        <f t="shared" si="3"/>
        <v>0.97636697389552007</v>
      </c>
      <c r="C25" s="72">
        <f t="shared" si="0"/>
        <v>1.1096322554872348E-2</v>
      </c>
      <c r="D25" s="72">
        <f t="shared" si="15"/>
        <v>1.0974545458570935E-2</v>
      </c>
      <c r="E25" s="72">
        <f t="shared" si="4"/>
        <v>0.98902545454142909</v>
      </c>
      <c r="F25" s="73">
        <f t="shared" si="14"/>
        <v>1.0319951398267473E-4</v>
      </c>
      <c r="G25" s="73">
        <f t="shared" si="16"/>
        <v>1.2312837424176878E-4</v>
      </c>
      <c r="H25" s="73">
        <f t="shared" si="12"/>
        <v>1.4775404909012253E-2</v>
      </c>
      <c r="I25" s="73">
        <f t="shared" si="6"/>
        <v>1.2252872457295323E-2</v>
      </c>
      <c r="J25" s="83">
        <f t="shared" si="1"/>
        <v>1.055024909603696E-4</v>
      </c>
      <c r="K25" s="84">
        <f t="shared" si="7"/>
        <v>1.2312837424176878E-4</v>
      </c>
      <c r="L25" s="84">
        <f t="shared" si="8"/>
        <v>1.1204682056000958E-2</v>
      </c>
      <c r="M25" s="84">
        <f t="shared" si="9"/>
        <v>9.5088455907415548E-3</v>
      </c>
      <c r="N25" s="85">
        <f t="shared" si="2"/>
        <v>1.1026376992161106E-4</v>
      </c>
      <c r="O25" s="85">
        <f t="shared" si="10"/>
        <v>1.2312837424176878E-4</v>
      </c>
      <c r="P25" s="12">
        <f t="shared" si="11"/>
        <v>5.540776840879595E-3</v>
      </c>
      <c r="Q25" s="12">
        <f t="shared" si="13"/>
        <v>4.7832110977612582E-3</v>
      </c>
    </row>
    <row r="26" spans="1:17">
      <c r="A26" s="72"/>
      <c r="B26" s="72"/>
      <c r="C26" s="72"/>
      <c r="D26" s="72"/>
      <c r="E26" s="72"/>
      <c r="F26" s="72"/>
      <c r="G26" s="72"/>
      <c r="H26" s="72"/>
      <c r="I26" s="72"/>
      <c r="K26" s="72"/>
      <c r="L26" s="72"/>
      <c r="M26" s="72"/>
      <c r="N26" s="72"/>
      <c r="O26" s="72"/>
    </row>
    <row r="27" spans="1:17" ht="34">
      <c r="A27" s="76" t="s">
        <v>127</v>
      </c>
      <c r="B27" s="71" t="s">
        <v>128</v>
      </c>
      <c r="C27" s="89" t="s">
        <v>142</v>
      </c>
      <c r="D27" s="71" t="s">
        <v>129</v>
      </c>
      <c r="E27" s="75" t="s">
        <v>136</v>
      </c>
      <c r="F27" s="77" t="s">
        <v>134</v>
      </c>
      <c r="G27" s="71" t="s">
        <v>135</v>
      </c>
      <c r="H27" s="72"/>
      <c r="I27" s="72"/>
      <c r="K27" s="72"/>
      <c r="L27" s="72"/>
      <c r="M27" s="72"/>
      <c r="N27" s="72"/>
      <c r="O27" s="72"/>
    </row>
    <row r="28" spans="1:17" ht="34">
      <c r="A28" s="78" t="s">
        <v>149</v>
      </c>
      <c r="B28" s="97">
        <v>-23.8</v>
      </c>
      <c r="C28" s="97">
        <v>0.49</v>
      </c>
      <c r="D28" s="32">
        <f>'collated data - FINAL'!H109</f>
        <v>4.7796161712970742E-3</v>
      </c>
      <c r="E28" s="32">
        <f>'collated data - FINAL'!I108</f>
        <v>1.0707259268393205E-2</v>
      </c>
      <c r="F28" s="32">
        <f>D28/P15</f>
        <v>0.86327445322665741</v>
      </c>
      <c r="G28" s="32">
        <f>D28/F28</f>
        <v>5.5366125493837128E-3</v>
      </c>
      <c r="H28" s="72"/>
      <c r="I28" s="72"/>
      <c r="K28" s="72"/>
      <c r="L28" s="72"/>
      <c r="M28" s="72"/>
      <c r="N28" s="72"/>
      <c r="O28" s="72"/>
    </row>
    <row r="29" spans="1:17" ht="34">
      <c r="A29" s="78" t="s">
        <v>150</v>
      </c>
      <c r="B29" s="97">
        <v>-24.4</v>
      </c>
      <c r="C29" s="97">
        <v>0.56000000000000005</v>
      </c>
      <c r="D29" s="32">
        <f>'collated data - FINAL'!S109</f>
        <v>9.5019803987612048E-3</v>
      </c>
      <c r="E29" s="32">
        <f>'collated data - FINAL'!T109</f>
        <v>4.5585766615958969E-3</v>
      </c>
      <c r="F29" s="32">
        <f>D29/L15</f>
        <v>0.84867443296062905</v>
      </c>
      <c r="G29" s="32">
        <f t="shared" ref="G29:G32" si="17">D29/F29</f>
        <v>1.1196260933198175E-2</v>
      </c>
      <c r="H29" s="72"/>
      <c r="I29" s="72"/>
      <c r="K29" s="72"/>
      <c r="L29" s="72"/>
      <c r="M29" s="72"/>
      <c r="N29" s="72"/>
      <c r="O29" s="72"/>
    </row>
    <row r="30" spans="1:17" ht="34">
      <c r="A30" s="78" t="s">
        <v>151</v>
      </c>
      <c r="B30" s="97">
        <v>-24.1</v>
      </c>
      <c r="C30" s="97">
        <v>0.46</v>
      </c>
      <c r="D30" s="72">
        <f>'collated data - FINAL'!AD109</f>
        <v>9.5016990107643518E-3</v>
      </c>
      <c r="E30" s="32">
        <f>'collated data - FINAL'!AE109</f>
        <v>4.3308090064732218E-3</v>
      </c>
      <c r="F30" s="32">
        <f>D30/L15</f>
        <v>0.84864930064203348</v>
      </c>
      <c r="G30" s="32">
        <f t="shared" si="17"/>
        <v>1.1196260933198175E-2</v>
      </c>
      <c r="H30" s="72"/>
      <c r="I30" s="72"/>
      <c r="K30" s="72"/>
      <c r="L30" s="72"/>
      <c r="M30" s="72"/>
      <c r="N30" s="72"/>
      <c r="O30" s="72"/>
    </row>
    <row r="31" spans="1:17" ht="34">
      <c r="A31" s="79" t="s">
        <v>152</v>
      </c>
      <c r="B31" s="97">
        <v>-24.2</v>
      </c>
      <c r="C31" s="97">
        <v>0.42</v>
      </c>
      <c r="D31" s="72">
        <f>'collated data - FINAL'!AO109</f>
        <v>1.2243663544170075E-2</v>
      </c>
      <c r="E31" s="32">
        <f>'collated data - FINAL'!AP109</f>
        <v>2.5481018425751612E-3</v>
      </c>
      <c r="F31" s="32">
        <f>D31/H15</f>
        <v>0.82927490195694653</v>
      </c>
      <c r="G31" s="32">
        <f t="shared" si="17"/>
        <v>1.4764300131689901E-2</v>
      </c>
      <c r="H31" s="72"/>
      <c r="I31" s="72"/>
      <c r="K31" s="72"/>
      <c r="L31" s="72"/>
      <c r="M31" s="72"/>
      <c r="N31" s="72"/>
      <c r="O31" s="72"/>
    </row>
    <row r="32" spans="1:17" ht="34">
      <c r="A32" s="78" t="s">
        <v>153</v>
      </c>
      <c r="B32" s="97">
        <v>-25.2</v>
      </c>
      <c r="C32" s="97">
        <v>0.49</v>
      </c>
      <c r="D32" s="72">
        <f>'collated data - FINAL'!AZ109</f>
        <v>1.2244172031591444E-2</v>
      </c>
      <c r="E32" s="32">
        <f>'collated data - FINAL'!BA109</f>
        <v>2.3233953224474041E-3</v>
      </c>
      <c r="F32" s="32">
        <f>D32/H17</f>
        <v>0.83135239471039157</v>
      </c>
      <c r="G32" s="32">
        <f t="shared" si="17"/>
        <v>1.472801679467923E-2</v>
      </c>
      <c r="H32" s="72"/>
      <c r="I32" s="72"/>
      <c r="K32" s="72"/>
      <c r="L32" s="72"/>
      <c r="M32" s="72"/>
      <c r="N32" s="72"/>
      <c r="O32" s="72"/>
    </row>
    <row r="33" spans="1:15">
      <c r="A33" s="71"/>
      <c r="B33" s="98"/>
      <c r="K33" s="72"/>
      <c r="L33" s="72"/>
      <c r="M33" s="72"/>
      <c r="N33" s="72"/>
      <c r="O33" s="72"/>
    </row>
    <row r="34" spans="1:15"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</row>
    <row r="35" spans="1:15" s="78" customFormat="1" ht="51">
      <c r="A35" s="92" t="s">
        <v>130</v>
      </c>
      <c r="B35" s="74" t="s">
        <v>145</v>
      </c>
      <c r="C35" s="89" t="s">
        <v>146</v>
      </c>
      <c r="D35" s="74" t="s">
        <v>147</v>
      </c>
      <c r="E35" s="89" t="s">
        <v>148</v>
      </c>
      <c r="F35" s="71" t="s">
        <v>129</v>
      </c>
      <c r="G35" s="75" t="s">
        <v>136</v>
      </c>
      <c r="H35" s="74" t="s">
        <v>135</v>
      </c>
      <c r="I35" s="74" t="s">
        <v>270</v>
      </c>
      <c r="J35" s="74" t="s">
        <v>271</v>
      </c>
      <c r="K35" s="79"/>
      <c r="L35" s="79"/>
      <c r="M35" s="79"/>
      <c r="N35" s="79"/>
      <c r="O35" s="79"/>
    </row>
    <row r="36" spans="1:15" s="78" customFormat="1" ht="17">
      <c r="A36" s="78" t="s">
        <v>137</v>
      </c>
      <c r="B36" s="79">
        <f>'collated data - FINAL'!J23</f>
        <v>-27.476848815154888</v>
      </c>
      <c r="C36" s="79">
        <f>'collated data - FINAL'!K23</f>
        <v>24.571332217373541</v>
      </c>
      <c r="D36" s="78">
        <f>'collated data - v2'!H42</f>
        <v>-20.352243148830993</v>
      </c>
      <c r="E36" s="78">
        <f>'collated data - v2'!I42</f>
        <v>4.9045746326710198</v>
      </c>
      <c r="F36" s="79">
        <f>'collated data - FINAL'!H108</f>
        <v>4.9832921146250658E-3</v>
      </c>
      <c r="G36" s="79">
        <f>'collated data - FINAL'!I108</f>
        <v>1.0707259268393205E-2</v>
      </c>
      <c r="H36" s="79">
        <f>((F36/F28))</f>
        <v>5.7725467213804778E-3</v>
      </c>
      <c r="I36" s="79">
        <f>H36/P21</f>
        <v>1.0348634831943788</v>
      </c>
      <c r="J36" s="79">
        <f>1000*(I36-1)</f>
        <v>34.863483194378816</v>
      </c>
      <c r="K36" s="79"/>
      <c r="L36" s="79"/>
      <c r="M36" s="79"/>
      <c r="N36" s="79"/>
      <c r="O36" s="79"/>
    </row>
    <row r="37" spans="1:15" s="78" customFormat="1" ht="17">
      <c r="A37" s="78" t="s">
        <v>138</v>
      </c>
      <c r="B37" s="79">
        <f>'collated data - FINAL'!U23</f>
        <v>-14.850717728731034</v>
      </c>
      <c r="C37" s="79">
        <f>'collated data - FINAL'!V23</f>
        <v>6.9566496160073408</v>
      </c>
      <c r="D37" s="78">
        <f>'collated data - v2'!Q42</f>
        <v>-12.644453810510715</v>
      </c>
      <c r="E37" s="78">
        <f>'collated data - v2'!R42</f>
        <v>4.1910226162314439</v>
      </c>
      <c r="F37" s="79">
        <f>'collated data - FINAL'!S108</f>
        <v>9.6840837738836668E-3</v>
      </c>
      <c r="G37" s="79">
        <f>'collated data - FINAL'!T108</f>
        <v>6.6561635149401102E-3</v>
      </c>
      <c r="H37" s="79">
        <f>F37/F29</f>
        <v>1.1410834824021289E-2</v>
      </c>
      <c r="I37" s="79">
        <f>H37/L22</f>
        <v>0.99585682198081349</v>
      </c>
      <c r="J37" s="79">
        <f t="shared" ref="J37:J40" si="18">1000*(I37-1)</f>
        <v>-4.1431780191865109</v>
      </c>
      <c r="K37" s="79"/>
      <c r="L37" s="79"/>
      <c r="M37" s="79"/>
      <c r="N37" s="79"/>
      <c r="O37" s="79"/>
    </row>
    <row r="38" spans="1:15" s="78" customFormat="1" ht="17">
      <c r="A38" s="78" t="s">
        <v>139</v>
      </c>
      <c r="B38" s="79">
        <f>'collated data - FINAL'!AF23</f>
        <v>-10.454100181289672</v>
      </c>
      <c r="C38" s="79">
        <f>'collated data - FINAL'!AG23</f>
        <v>0.54899782776268435</v>
      </c>
      <c r="D38" s="78">
        <f>'collated data - v2'!Z42</f>
        <v>-16.713071237317468</v>
      </c>
      <c r="E38" s="78">
        <f>'collated data - v2'!AA42</f>
        <v>4.5140102784322647</v>
      </c>
      <c r="F38" s="79">
        <f>'collated data - FINAL'!AD108</f>
        <v>9.6733529951766924E-3</v>
      </c>
      <c r="G38" s="79">
        <f>'collated data - FINAL'!AE108</f>
        <v>8.7555743171897783E-3</v>
      </c>
      <c r="H38" s="79">
        <f>F38/F30</f>
        <v>1.139852821166347E-2</v>
      </c>
      <c r="I38" s="79">
        <f>H38/L23</f>
        <v>1.0030321892269289</v>
      </c>
      <c r="J38" s="79">
        <f t="shared" si="18"/>
        <v>3.0321892269289386</v>
      </c>
      <c r="K38" s="79"/>
      <c r="L38" s="79"/>
      <c r="M38" s="79"/>
      <c r="N38" s="79"/>
      <c r="O38" s="79"/>
    </row>
    <row r="39" spans="1:15">
      <c r="A39" s="72" t="s">
        <v>141</v>
      </c>
      <c r="B39" s="72">
        <f>'collated data - FINAL'!AQ23</f>
        <v>-27.086179951660739</v>
      </c>
      <c r="C39" s="72">
        <f>'collated data - FINAL'!AR23</f>
        <v>9.8347477209093661</v>
      </c>
      <c r="D39" s="32">
        <f>'collated data - v2'!AI42</f>
        <v>-17.106026968804812</v>
      </c>
      <c r="E39" s="32">
        <f>'collated data - v2'!AJ42</f>
        <v>2.5416762408600606</v>
      </c>
      <c r="F39" s="72">
        <f>'collated data - FINAL'!AO108</f>
        <v>1.253037790718772E-2</v>
      </c>
      <c r="G39" s="72">
        <f>'collated data - FINAL'!AP108</f>
        <v>5.032070905026503E-3</v>
      </c>
      <c r="H39" s="72">
        <f>F39/F31</f>
        <v>1.5110041166829211E-2</v>
      </c>
      <c r="I39" s="72">
        <f>H39/H24</f>
        <v>1.0091113101122919</v>
      </c>
      <c r="J39" s="79">
        <f t="shared" si="18"/>
        <v>9.1113101122919371</v>
      </c>
      <c r="K39" s="72"/>
      <c r="L39" s="72"/>
      <c r="M39" s="72"/>
      <c r="N39" s="72"/>
      <c r="O39" s="72"/>
    </row>
    <row r="40" spans="1:15">
      <c r="A40" s="32" t="s">
        <v>140</v>
      </c>
      <c r="B40" s="72">
        <f>'collated data - FINAL'!BB23</f>
        <v>-29.579402891520502</v>
      </c>
      <c r="C40" s="72">
        <f>'collated data - FINAL'!BC23</f>
        <v>1.2626914534230891</v>
      </c>
      <c r="D40" s="32">
        <f>'collated data - v2'!AR42</f>
        <v>-23.633026104479924</v>
      </c>
      <c r="E40" s="32">
        <f>'collated data - v2'!AS42</f>
        <v>2.1149845144850712</v>
      </c>
      <c r="F40" s="72">
        <f>'collated data - FINAL'!AZ108</f>
        <v>1.2420586462036415E-2</v>
      </c>
      <c r="G40" s="72">
        <f>'collated data - FINAL'!BA108</f>
        <v>3.8610485070341744E-3</v>
      </c>
      <c r="H40" s="72">
        <f>F40/F32</f>
        <v>1.4940218541576738E-2</v>
      </c>
      <c r="I40" s="72">
        <f>H40/H25</f>
        <v>1.0111545932974031</v>
      </c>
      <c r="J40" s="79">
        <f t="shared" si="18"/>
        <v>11.154593297403093</v>
      </c>
      <c r="K40" s="72"/>
      <c r="L40" s="72"/>
      <c r="M40" s="72"/>
      <c r="N40" s="72"/>
      <c r="O40" s="72"/>
    </row>
    <row r="41" spans="1:15">
      <c r="A41" s="72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</row>
    <row r="42" spans="1:15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</row>
    <row r="43" spans="1:15">
      <c r="A43" s="72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</row>
    <row r="44" spans="1:15">
      <c r="A44" s="72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</row>
    <row r="45" spans="1:15">
      <c r="A45" s="72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</row>
    <row r="46" spans="1:15">
      <c r="A46" s="72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</row>
    <row r="47" spans="1:15">
      <c r="A47" s="72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</row>
    <row r="48" spans="1:15"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</row>
    <row r="49" spans="2:15">
      <c r="B49" s="72"/>
      <c r="C49" s="72"/>
      <c r="D49" s="71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</row>
    <row r="50" spans="2:15"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</row>
    <row r="51" spans="2:15"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</row>
    <row r="52" spans="2:15"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</row>
    <row r="53" spans="2:15"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</row>
    <row r="54" spans="2:15"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</row>
    <row r="55" spans="2:15"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7A1C5-4886-EF4F-A72A-DF2D4FD32508}">
  <dimension ref="A1:S56"/>
  <sheetViews>
    <sheetView topLeftCell="A21" zoomScale="80" zoomScaleNormal="80" workbookViewId="0">
      <selection activeCell="I36" sqref="I36:I41"/>
    </sheetView>
  </sheetViews>
  <sheetFormatPr baseColWidth="10" defaultRowHeight="16"/>
  <cols>
    <col min="1" max="1" width="19.5" style="32" customWidth="1"/>
    <col min="2" max="2" width="24" style="32" customWidth="1"/>
    <col min="3" max="3" width="14.83203125" style="32" customWidth="1"/>
    <col min="4" max="4" width="18.5" style="32" customWidth="1"/>
    <col min="5" max="5" width="26.6640625" style="32" customWidth="1"/>
    <col min="6" max="6" width="17.83203125" style="32" customWidth="1"/>
    <col min="7" max="7" width="18.1640625" style="32" customWidth="1"/>
    <col min="8" max="9" width="15.83203125" style="32" customWidth="1"/>
    <col min="10" max="10" width="17.5" style="32" customWidth="1"/>
    <col min="11" max="16384" width="10.83203125" style="32"/>
  </cols>
  <sheetData>
    <row r="1" spans="1:19" ht="34">
      <c r="A1" s="93"/>
      <c r="B1" s="94" t="s">
        <v>131</v>
      </c>
      <c r="C1" s="93"/>
      <c r="E1" s="72"/>
      <c r="F1" s="90" t="s">
        <v>115</v>
      </c>
      <c r="G1" s="82" t="s">
        <v>116</v>
      </c>
      <c r="H1" s="91" t="s">
        <v>117</v>
      </c>
      <c r="I1" s="91"/>
    </row>
    <row r="2" spans="1:19">
      <c r="A2" s="95" t="s">
        <v>106</v>
      </c>
      <c r="B2" s="96">
        <v>1.1237199999999999E-2</v>
      </c>
      <c r="C2" s="96"/>
      <c r="E2" s="71" t="s">
        <v>114</v>
      </c>
      <c r="F2" s="72">
        <v>16</v>
      </c>
      <c r="G2" s="72">
        <v>14</v>
      </c>
      <c r="H2" s="32">
        <v>10</v>
      </c>
      <c r="J2" s="72"/>
      <c r="K2" s="72"/>
      <c r="L2" s="72"/>
      <c r="M2" s="72"/>
      <c r="N2" s="72"/>
      <c r="O2" s="72"/>
    </row>
    <row r="3" spans="1:19">
      <c r="A3" s="95" t="s">
        <v>107</v>
      </c>
      <c r="B3" s="96">
        <f>1-B2</f>
        <v>0.98876280000000005</v>
      </c>
      <c r="C3" s="96"/>
      <c r="E3" s="71" t="s">
        <v>132</v>
      </c>
      <c r="F3" s="72">
        <f>B3^15 *B2</f>
        <v>9.4850558150320688E-3</v>
      </c>
      <c r="G3" s="72">
        <f>B3^13 *B2</f>
        <v>9.7018745228647472E-3</v>
      </c>
      <c r="H3" s="32">
        <f>B3^9 *B2</f>
        <v>1.0150493997434191E-2</v>
      </c>
      <c r="J3" s="72"/>
      <c r="K3" s="72"/>
      <c r="L3" s="72"/>
      <c r="M3" s="72"/>
      <c r="N3" s="72"/>
      <c r="O3" s="72"/>
    </row>
    <row r="4" spans="1:19">
      <c r="A4" s="95" t="s">
        <v>108</v>
      </c>
      <c r="B4" s="96">
        <f>B2/B3</f>
        <v>1.1364909764000019E-2</v>
      </c>
      <c r="C4" s="96"/>
      <c r="E4" s="71" t="s">
        <v>133</v>
      </c>
      <c r="F4" s="72">
        <f>B3^14 *B2^2</f>
        <v>1.0779680344434312E-4</v>
      </c>
      <c r="G4" s="72">
        <f>B3^12 *B2^2</f>
        <v>1.102609284940086E-4</v>
      </c>
      <c r="H4" s="32">
        <f>B3^8 *B2^2</f>
        <v>1.1535944834086342E-4</v>
      </c>
      <c r="J4" s="72"/>
      <c r="K4" s="72"/>
      <c r="L4" s="72"/>
      <c r="M4" s="72"/>
      <c r="N4" s="72"/>
      <c r="O4" s="72"/>
    </row>
    <row r="5" spans="1:19">
      <c r="A5" s="95" t="s">
        <v>109</v>
      </c>
      <c r="B5" s="96">
        <f>B2^2*B3^14</f>
        <v>1.0779680344434312E-4</v>
      </c>
      <c r="C5" s="96">
        <f>B5/B4</f>
        <v>9.4850558150320688E-3</v>
      </c>
      <c r="F5" s="72"/>
      <c r="G5" s="72"/>
      <c r="H5" s="72"/>
      <c r="I5" s="72"/>
      <c r="J5" s="72"/>
      <c r="K5" s="72"/>
      <c r="L5" s="72"/>
      <c r="M5" s="72"/>
      <c r="N5" s="72"/>
      <c r="O5" s="72"/>
    </row>
    <row r="6" spans="1:19">
      <c r="B6" s="72"/>
      <c r="C6" s="72"/>
      <c r="D6" s="72"/>
      <c r="F6" s="72"/>
      <c r="G6" s="72"/>
      <c r="H6" s="72"/>
      <c r="I6" s="72"/>
      <c r="J6" s="72"/>
      <c r="K6" s="72"/>
      <c r="L6" s="72"/>
      <c r="M6" s="72"/>
      <c r="N6" s="72"/>
      <c r="O6" s="72"/>
    </row>
    <row r="7" spans="1:19">
      <c r="B7" s="72"/>
      <c r="C7" s="72"/>
      <c r="D7" s="72"/>
      <c r="F7" s="72"/>
      <c r="G7" s="72"/>
      <c r="H7" s="72"/>
      <c r="I7" s="72"/>
      <c r="J7" s="72"/>
      <c r="K7" s="72"/>
      <c r="L7" s="72"/>
      <c r="M7" s="72"/>
      <c r="N7" s="72"/>
      <c r="O7" s="72"/>
    </row>
    <row r="8" spans="1:19">
      <c r="A8" s="50" t="s">
        <v>126</v>
      </c>
      <c r="F8" s="72"/>
      <c r="G8" s="72"/>
      <c r="H8" s="72"/>
      <c r="I8" s="72"/>
      <c r="J8" s="72"/>
      <c r="K8" s="72"/>
      <c r="L8" s="72"/>
      <c r="M8" s="72"/>
      <c r="N8" s="72"/>
      <c r="O8" s="72"/>
    </row>
    <row r="9" spans="1:19" s="78" customFormat="1" ht="46" customHeight="1">
      <c r="A9" s="74" t="s">
        <v>110</v>
      </c>
      <c r="B9" s="74" t="s">
        <v>111</v>
      </c>
      <c r="C9" s="74" t="s">
        <v>112</v>
      </c>
      <c r="D9" s="74" t="s">
        <v>106</v>
      </c>
      <c r="E9" s="74" t="s">
        <v>107</v>
      </c>
      <c r="F9" s="80" t="s">
        <v>118</v>
      </c>
      <c r="G9" s="80" t="s">
        <v>119</v>
      </c>
      <c r="H9" s="81" t="s">
        <v>113</v>
      </c>
      <c r="I9" s="81" t="s">
        <v>163</v>
      </c>
      <c r="J9" s="86" t="s">
        <v>120</v>
      </c>
      <c r="K9" s="82" t="s">
        <v>121</v>
      </c>
      <c r="L9" s="82" t="s">
        <v>122</v>
      </c>
      <c r="M9" s="82" t="s">
        <v>163</v>
      </c>
      <c r="N9" s="87" t="s">
        <v>123</v>
      </c>
      <c r="O9" s="87" t="s">
        <v>124</v>
      </c>
      <c r="P9" s="88" t="s">
        <v>125</v>
      </c>
      <c r="Q9" s="88" t="s">
        <v>163</v>
      </c>
      <c r="R9" s="89"/>
      <c r="S9" s="89"/>
    </row>
    <row r="10" spans="1:19">
      <c r="A10" s="72">
        <v>0</v>
      </c>
      <c r="B10" s="72">
        <f>(A10/1000)+1</f>
        <v>1</v>
      </c>
      <c r="C10" s="72">
        <f t="shared" ref="C10:C26" si="0">B10*$B$4</f>
        <v>1.1364909764000019E-2</v>
      </c>
      <c r="D10" s="72">
        <f>C10/(1+C10)</f>
        <v>1.1237199999999998E-2</v>
      </c>
      <c r="E10" s="72">
        <f>1-D10</f>
        <v>0.98876280000000005</v>
      </c>
      <c r="F10" s="73">
        <f>E10^14*D10^2</f>
        <v>1.0779680344434309E-4</v>
      </c>
      <c r="G10" s="73">
        <f>F10/E10</f>
        <v>1.0902190438833569E-4</v>
      </c>
      <c r="H10" s="73">
        <f>G10*((16*15) /2)</f>
        <v>1.3082628526600283E-2</v>
      </c>
      <c r="I10" s="73">
        <f>H10-$F$32</f>
        <v>1.2841795100369232E-2</v>
      </c>
      <c r="J10" s="83">
        <f t="shared" ref="J10:J21" si="1">E10^12*D10^2</f>
        <v>1.1026092849400857E-4</v>
      </c>
      <c r="K10" s="84">
        <f t="shared" ref="K10:K21" si="2">J10/E10</f>
        <v>1.1151403399683783E-4</v>
      </c>
      <c r="L10" s="84">
        <f>K10*((14*13)/2)</f>
        <v>1.0147777093712243E-2</v>
      </c>
      <c r="M10" s="84">
        <f>L10-$F$31</f>
        <v>9.9489922121081646E-3</v>
      </c>
      <c r="N10" s="85">
        <f t="shared" ref="N10:N21" si="3">E10^8*D10^2</f>
        <v>1.1535944834086341E-4</v>
      </c>
      <c r="O10" s="85">
        <f t="shared" ref="O10:O21" si="4">N10/E10</f>
        <v>1.1667049806168214E-4</v>
      </c>
      <c r="P10" s="12">
        <f>O10*((10*9)/2)</f>
        <v>5.2501724127756964E-3</v>
      </c>
      <c r="Q10" s="12">
        <f>P10-$F$29</f>
        <v>5.0164449023860028E-3</v>
      </c>
    </row>
    <row r="11" spans="1:19">
      <c r="A11" s="72">
        <v>-5</v>
      </c>
      <c r="B11" s="72">
        <f t="shared" ref="B11:B26" si="5">(A11/1000)+1</f>
        <v>0.995</v>
      </c>
      <c r="C11" s="72">
        <f t="shared" si="0"/>
        <v>1.1308085215180019E-2</v>
      </c>
      <c r="D11" s="72">
        <f>C11/(1+C11)</f>
        <v>1.1181642251751554E-2</v>
      </c>
      <c r="E11" s="72">
        <f t="shared" ref="E11:E21" si="6">1-D11</f>
        <v>0.98881835774824844</v>
      </c>
      <c r="F11" s="73">
        <f>E11^14*D11^2</f>
        <v>1.0681751625905236E-4</v>
      </c>
      <c r="G11" s="73">
        <f>F11/E11</f>
        <v>1.080254178353836E-4</v>
      </c>
      <c r="H11" s="73">
        <f>G11*((16*15) /2)</f>
        <v>1.2963050140246032E-2</v>
      </c>
      <c r="I11" s="73">
        <f>H11-$F$32</f>
        <v>1.2722216714014981E-2</v>
      </c>
      <c r="J11" s="83">
        <f t="shared" si="1"/>
        <v>1.0924697846567155E-4</v>
      </c>
      <c r="K11" s="84">
        <f t="shared" si="2"/>
        <v>1.1048235260766231E-4</v>
      </c>
      <c r="L11" s="84">
        <f t="shared" ref="L11:L21" si="7">K11*((14*13)/2)</f>
        <v>1.0053894087297271E-2</v>
      </c>
      <c r="M11" s="84">
        <f>L11-$F$31</f>
        <v>9.8551092056931924E-3</v>
      </c>
      <c r="N11" s="85">
        <f t="shared" si="3"/>
        <v>1.1427292699936173E-4</v>
      </c>
      <c r="O11" s="85">
        <f t="shared" si="4"/>
        <v>1.1556513499565855E-4</v>
      </c>
      <c r="P11" s="12">
        <f t="shared" ref="P11:P21" si="8">O11*((10*9)/2)</f>
        <v>5.2004310748046349E-3</v>
      </c>
      <c r="Q11" s="12">
        <f>P11-$F$29</f>
        <v>4.9667035644149413E-3</v>
      </c>
    </row>
    <row r="12" spans="1:19">
      <c r="A12" s="72">
        <v>-10</v>
      </c>
      <c r="B12" s="72">
        <f t="shared" si="5"/>
        <v>0.99</v>
      </c>
      <c r="C12" s="72">
        <f>B12*$B$4</f>
        <v>1.1251260666360018E-2</v>
      </c>
      <c r="D12" s="72">
        <f>C12/(1+C12)</f>
        <v>1.1126078259666194E-2</v>
      </c>
      <c r="E12" s="72">
        <f>1-D12</f>
        <v>0.98887392174033384</v>
      </c>
      <c r="F12" s="73">
        <f>E12^14*D12^2</f>
        <v>1.0584178520764198E-4</v>
      </c>
      <c r="G12" s="73">
        <f>F12/E12</f>
        <v>1.0703263872240605E-4</v>
      </c>
      <c r="H12" s="73">
        <f t="shared" ref="H12:H21" si="9">G12*((16*15) /2)</f>
        <v>1.2843916646688725E-2</v>
      </c>
      <c r="I12" s="73">
        <f>H12-$F$32</f>
        <v>1.2603083220457674E-2</v>
      </c>
      <c r="J12" s="83">
        <f t="shared" si="1"/>
        <v>1.0823689084048018E-4</v>
      </c>
      <c r="K12" s="84">
        <f t="shared" si="2"/>
        <v>1.0945469231304278E-4</v>
      </c>
      <c r="L12" s="84">
        <f t="shared" si="7"/>
        <v>9.9603770004868929E-3</v>
      </c>
      <c r="M12" s="84">
        <f>L12-$F$31</f>
        <v>9.7615921188828145E-3</v>
      </c>
      <c r="N12" s="85">
        <f t="shared" si="3"/>
        <v>1.1319092592627456E-4</v>
      </c>
      <c r="O12" s="85">
        <f t="shared" si="4"/>
        <v>1.1446446653893771E-4</v>
      </c>
      <c r="P12" s="12">
        <f t="shared" si="8"/>
        <v>5.150900994252197E-3</v>
      </c>
      <c r="Q12" s="12">
        <f>P12-$F$29</f>
        <v>4.9171734838625034E-3</v>
      </c>
    </row>
    <row r="13" spans="1:19">
      <c r="A13" s="72">
        <v>-14.9</v>
      </c>
      <c r="B13" s="72"/>
      <c r="C13" s="72"/>
      <c r="D13" s="72"/>
      <c r="E13" s="72"/>
      <c r="F13" s="73"/>
      <c r="G13" s="73"/>
      <c r="H13" s="73"/>
      <c r="I13" s="73"/>
      <c r="J13" s="83"/>
      <c r="K13" s="84"/>
      <c r="L13" s="84"/>
      <c r="M13" s="84"/>
      <c r="N13" s="85"/>
      <c r="O13" s="85"/>
      <c r="P13" s="12"/>
      <c r="Q13" s="12"/>
    </row>
    <row r="14" spans="1:19">
      <c r="A14" s="72">
        <v>-15</v>
      </c>
      <c r="B14" s="72">
        <f t="shared" si="5"/>
        <v>0.98499999999999999</v>
      </c>
      <c r="C14" s="72">
        <f t="shared" si="0"/>
        <v>1.1194436117540018E-2</v>
      </c>
      <c r="D14" s="72">
        <f>C14/(1+C14)</f>
        <v>1.1070508022691286E-2</v>
      </c>
      <c r="E14" s="72">
        <f t="shared" si="6"/>
        <v>0.98892949197730873</v>
      </c>
      <c r="F14" s="73">
        <f t="shared" ref="F14:F21" si="10">E14^14*D14^2</f>
        <v>1.0486962217912392E-4</v>
      </c>
      <c r="G14" s="73">
        <f t="shared" ref="G14:G21" si="11">F14/E14</f>
        <v>1.0604357846527869E-4</v>
      </c>
      <c r="H14" s="73">
        <f t="shared" si="9"/>
        <v>1.2725229415833443E-2</v>
      </c>
      <c r="I14" s="73">
        <f t="shared" ref="I14:I21" si="12">H14-$F$32</f>
        <v>1.2484395989602392E-2</v>
      </c>
      <c r="J14" s="83">
        <f t="shared" si="1"/>
        <v>1.0723067653008358E-4</v>
      </c>
      <c r="K14" s="84">
        <f t="shared" si="2"/>
        <v>1.084310634883402E-4</v>
      </c>
      <c r="L14" s="84">
        <f t="shared" si="7"/>
        <v>9.8672267774389585E-3</v>
      </c>
      <c r="M14" s="84">
        <f t="shared" ref="M14:M21" si="13">L14-$F$31</f>
        <v>9.6684418958348801E-3</v>
      </c>
      <c r="N14" s="85">
        <f t="shared" si="3"/>
        <v>1.1211345368566564E-4</v>
      </c>
      <c r="O14" s="85">
        <f t="shared" si="4"/>
        <v>1.1336850058086661E-4</v>
      </c>
      <c r="P14" s="12">
        <f t="shared" si="8"/>
        <v>5.1015825261389973E-3</v>
      </c>
      <c r="Q14" s="12">
        <f t="shared" ref="Q14:Q21" si="14">P14-$F$29</f>
        <v>4.8678550157493037E-3</v>
      </c>
    </row>
    <row r="15" spans="1:19">
      <c r="A15" s="72">
        <v>-20</v>
      </c>
      <c r="B15" s="72">
        <f t="shared" si="5"/>
        <v>0.98</v>
      </c>
      <c r="C15" s="72">
        <f t="shared" si="0"/>
        <v>1.1137611568720018E-2</v>
      </c>
      <c r="D15" s="72">
        <f>C15/(1+C15)</f>
        <v>1.1014931539773972E-2</v>
      </c>
      <c r="E15" s="72">
        <f t="shared" si="6"/>
        <v>0.98898506846022605</v>
      </c>
      <c r="F15" s="73">
        <f t="shared" si="10"/>
        <v>1.039010390867185E-4</v>
      </c>
      <c r="G15" s="73">
        <f>F15/E15</f>
        <v>1.0505824850165276E-4</v>
      </c>
      <c r="H15" s="73">
        <f>G15*((16*15) /2)</f>
        <v>1.2606989820198332E-2</v>
      </c>
      <c r="I15" s="73">
        <f t="shared" si="12"/>
        <v>1.236615639396728E-2</v>
      </c>
      <c r="J15" s="83">
        <f t="shared" si="1"/>
        <v>1.0622834646555423E-4</v>
      </c>
      <c r="K15" s="84">
        <f t="shared" si="2"/>
        <v>1.0741147652607498E-4</v>
      </c>
      <c r="L15" s="84">
        <f t="shared" si="7"/>
        <v>9.7744443638728227E-3</v>
      </c>
      <c r="M15" s="84">
        <f t="shared" si="13"/>
        <v>9.5756594822687443E-3</v>
      </c>
      <c r="N15" s="85">
        <f t="shared" si="3"/>
        <v>1.1104051885258135E-4</v>
      </c>
      <c r="O15" s="85">
        <f t="shared" si="4"/>
        <v>1.1227724501995053E-4</v>
      </c>
      <c r="P15" s="12">
        <f t="shared" si="8"/>
        <v>5.0524760258977737E-3</v>
      </c>
      <c r="Q15" s="12">
        <f t="shared" si="14"/>
        <v>4.8187485155080801E-3</v>
      </c>
    </row>
    <row r="16" spans="1:19" s="97" customFormat="1">
      <c r="A16" s="97">
        <v>-24</v>
      </c>
      <c r="B16" s="97">
        <f t="shared" si="5"/>
        <v>0.97599999999999998</v>
      </c>
      <c r="C16" s="97">
        <f t="shared" si="0"/>
        <v>1.1092151929664017E-2</v>
      </c>
      <c r="D16" s="97">
        <f t="shared" ref="D16:D26" si="15">C16/(1+C16)</f>
        <v>1.0970465855653913E-2</v>
      </c>
      <c r="E16" s="97">
        <f t="shared" si="6"/>
        <v>0.98902953414434613</v>
      </c>
      <c r="F16" s="99">
        <f t="shared" si="10"/>
        <v>1.0312875818795935E-4</v>
      </c>
      <c r="G16" s="99">
        <f t="shared" si="11"/>
        <v>1.0427267804209778E-4</v>
      </c>
      <c r="H16" s="99">
        <f t="shared" si="9"/>
        <v>1.2512721365051733E-2</v>
      </c>
      <c r="I16" s="73">
        <f t="shared" si="12"/>
        <v>1.2271887938820681E-2</v>
      </c>
      <c r="J16" s="100">
        <f t="shared" si="1"/>
        <v>1.0542928642905365E-4</v>
      </c>
      <c r="K16" s="100">
        <f t="shared" si="2"/>
        <v>1.0659872409196077E-4</v>
      </c>
      <c r="L16" s="100">
        <f t="shared" si="7"/>
        <v>9.7004838923684302E-3</v>
      </c>
      <c r="M16" s="84">
        <f t="shared" si="13"/>
        <v>9.5016990107643518E-3</v>
      </c>
      <c r="N16" s="101">
        <f t="shared" si="3"/>
        <v>1.1018544368898143E-4</v>
      </c>
      <c r="O16" s="101">
        <f t="shared" si="4"/>
        <v>1.1140763737081705E-4</v>
      </c>
      <c r="P16" s="101">
        <f t="shared" si="8"/>
        <v>5.0133436816867678E-3</v>
      </c>
      <c r="Q16" s="12">
        <f t="shared" si="14"/>
        <v>4.7796161712970742E-3</v>
      </c>
    </row>
    <row r="17" spans="1:17">
      <c r="A17" s="72">
        <v>-25</v>
      </c>
      <c r="B17" s="72">
        <f>(A17/1000)+1</f>
        <v>0.97499999999999998</v>
      </c>
      <c r="C17" s="72">
        <f t="shared" si="0"/>
        <v>1.1080787019900019E-2</v>
      </c>
      <c r="D17" s="72">
        <f t="shared" si="15"/>
        <v>1.0959348809861151E-2</v>
      </c>
      <c r="E17" s="72">
        <f t="shared" si="6"/>
        <v>0.98904065119013884</v>
      </c>
      <c r="F17" s="73">
        <f t="shared" si="10"/>
        <v>1.0293604786789571E-4</v>
      </c>
      <c r="G17" s="73">
        <f t="shared" si="11"/>
        <v>1.0407666029099009E-4</v>
      </c>
      <c r="H17" s="73">
        <f t="shared" si="9"/>
        <v>1.2489199234918811E-2</v>
      </c>
      <c r="I17" s="73">
        <f t="shared" si="12"/>
        <v>1.224836580868776E-2</v>
      </c>
      <c r="J17" s="83">
        <f t="shared" si="1"/>
        <v>1.0522991159741706E-4</v>
      </c>
      <c r="K17" s="84">
        <f t="shared" si="2"/>
        <v>1.0639594183595095E-4</v>
      </c>
      <c r="L17" s="84">
        <f t="shared" si="7"/>
        <v>9.6820307070715362E-3</v>
      </c>
      <c r="M17" s="84">
        <f t="shared" si="13"/>
        <v>9.4832458254674578E-3</v>
      </c>
      <c r="N17" s="85">
        <f t="shared" si="3"/>
        <v>1.0997213001306254E-4</v>
      </c>
      <c r="O17" s="85">
        <f t="shared" si="4"/>
        <v>1.1119070776386204E-4</v>
      </c>
      <c r="P17" s="12">
        <f t="shared" si="8"/>
        <v>5.0035818493737918E-3</v>
      </c>
      <c r="Q17" s="12">
        <f t="shared" si="14"/>
        <v>4.7698543389840982E-3</v>
      </c>
    </row>
    <row r="18" spans="1:17" s="97" customFormat="1">
      <c r="A18" s="99">
        <v>-25.2</v>
      </c>
      <c r="B18" s="99">
        <f>(A18/1000)+1</f>
        <v>0.9748</v>
      </c>
      <c r="C18" s="99">
        <f t="shared" si="0"/>
        <v>1.1078514037947218E-2</v>
      </c>
      <c r="D18" s="99">
        <f t="shared" si="15"/>
        <v>1.0957125370712235E-2</v>
      </c>
      <c r="E18" s="99">
        <f t="shared" si="6"/>
        <v>0.98904287462928775</v>
      </c>
      <c r="F18" s="99">
        <f t="shared" si="10"/>
        <v>1.0289752309921804E-4</v>
      </c>
      <c r="G18" s="99">
        <f t="shared" si="11"/>
        <v>1.0403747475334272E-4</v>
      </c>
      <c r="H18" s="99">
        <f t="shared" si="9"/>
        <v>1.2484496970401127E-2</v>
      </c>
      <c r="I18" s="73">
        <f t="shared" si="12"/>
        <v>1.2243663544170075E-2</v>
      </c>
      <c r="J18" s="100">
        <f t="shared" si="1"/>
        <v>1.051900553778702E-4</v>
      </c>
      <c r="K18" s="100">
        <f t="shared" si="2"/>
        <v>1.0635540488302639E-4</v>
      </c>
      <c r="L18" s="100">
        <f t="shared" si="7"/>
        <v>9.6783418443554016E-3</v>
      </c>
      <c r="M18" s="84">
        <f t="shared" si="13"/>
        <v>9.4795569627513232E-3</v>
      </c>
      <c r="N18" s="101">
        <f t="shared" si="3"/>
        <v>1.0992948913770728E-4</v>
      </c>
      <c r="O18" s="101">
        <f t="shared" si="4"/>
        <v>1.1114734452630374E-4</v>
      </c>
      <c r="P18" s="101">
        <f t="shared" si="8"/>
        <v>5.0016305036836685E-3</v>
      </c>
      <c r="Q18" s="12">
        <f t="shared" si="14"/>
        <v>4.7679029932939749E-3</v>
      </c>
    </row>
    <row r="19" spans="1:17">
      <c r="A19" s="72">
        <v>-30</v>
      </c>
      <c r="B19" s="72">
        <f t="shared" si="5"/>
        <v>0.97</v>
      </c>
      <c r="C19" s="72">
        <f t="shared" si="0"/>
        <v>1.1023962471080019E-2</v>
      </c>
      <c r="D19" s="72">
        <f t="shared" si="15"/>
        <v>1.0903759831899489E-2</v>
      </c>
      <c r="E19" s="72">
        <f t="shared" si="6"/>
        <v>0.98909624016810049</v>
      </c>
      <c r="F19" s="73">
        <f t="shared" si="10"/>
        <v>1.0197466048441824E-4</v>
      </c>
      <c r="G19" s="73">
        <f t="shared" si="11"/>
        <v>1.0309882531459959E-4</v>
      </c>
      <c r="H19" s="73">
        <f t="shared" si="9"/>
        <v>1.237185903775195E-2</v>
      </c>
      <c r="I19" s="73">
        <f t="shared" si="12"/>
        <v>1.2131025611520898E-2</v>
      </c>
      <c r="J19" s="83">
        <f t="shared" si="1"/>
        <v>1.0423538289568019E-4</v>
      </c>
      <c r="K19" s="84">
        <f t="shared" si="2"/>
        <v>1.0538446984488082E-4</v>
      </c>
      <c r="L19" s="84">
        <f t="shared" si="7"/>
        <v>9.5899867558841556E-3</v>
      </c>
      <c r="M19" s="84">
        <f t="shared" si="13"/>
        <v>9.3912018742800772E-3</v>
      </c>
      <c r="N19" s="85">
        <f t="shared" si="3"/>
        <v>1.0890829576415778E-4</v>
      </c>
      <c r="O19" s="85">
        <f t="shared" si="4"/>
        <v>1.1010889672945113E-4</v>
      </c>
      <c r="P19" s="12">
        <f t="shared" si="8"/>
        <v>4.954900352825301E-3</v>
      </c>
      <c r="Q19" s="12">
        <f t="shared" si="14"/>
        <v>4.7211728424356074E-3</v>
      </c>
    </row>
    <row r="20" spans="1:17">
      <c r="A20" s="73">
        <v>-3.92</v>
      </c>
      <c r="B20" s="73">
        <f t="shared" si="5"/>
        <v>0.99607999999999997</v>
      </c>
      <c r="C20" s="73">
        <f t="shared" si="0"/>
        <v>1.1320359317725138E-2</v>
      </c>
      <c r="D20" s="73">
        <f t="shared" si="15"/>
        <v>1.1193643254015256E-2</v>
      </c>
      <c r="E20" s="73">
        <f t="shared" si="6"/>
        <v>0.98880635674598472</v>
      </c>
      <c r="F20" s="73">
        <f t="shared" si="10"/>
        <v>1.0702874159368294E-4</v>
      </c>
      <c r="G20" s="73">
        <f>F20/E20</f>
        <v>1.0824034540584739E-4</v>
      </c>
      <c r="H20" s="73">
        <f t="shared" si="9"/>
        <v>1.2988841448701686E-2</v>
      </c>
      <c r="I20" s="73">
        <f t="shared" si="12"/>
        <v>1.2748008022470635E-2</v>
      </c>
      <c r="J20" s="83">
        <f t="shared" si="1"/>
        <v>1.0946566500851625E-4</v>
      </c>
      <c r="K20" s="84">
        <f t="shared" si="2"/>
        <v>1.1070485566936639E-4</v>
      </c>
      <c r="L20" s="84">
        <f t="shared" si="7"/>
        <v>1.0074141865912342E-2</v>
      </c>
      <c r="M20" s="84">
        <f t="shared" si="13"/>
        <v>9.8753569843082634E-3</v>
      </c>
      <c r="N20" s="85">
        <f t="shared" si="3"/>
        <v>1.1450723316267221E-4</v>
      </c>
      <c r="O20" s="85">
        <f t="shared" si="4"/>
        <v>1.158034961865522E-4</v>
      </c>
      <c r="P20" s="12">
        <f t="shared" si="8"/>
        <v>5.2111573283948488E-3</v>
      </c>
      <c r="Q20" s="12">
        <f t="shared" si="14"/>
        <v>4.9774298180051552E-3</v>
      </c>
    </row>
    <row r="21" spans="1:17">
      <c r="A21" s="73">
        <v>-11.81</v>
      </c>
      <c r="B21" s="73">
        <f t="shared" si="5"/>
        <v>0.98819000000000001</v>
      </c>
      <c r="C21" s="73">
        <f t="shared" si="0"/>
        <v>1.1230690179687178E-2</v>
      </c>
      <c r="D21" s="73">
        <f t="shared" si="15"/>
        <v>1.1105962555083823E-2</v>
      </c>
      <c r="E21" s="73">
        <f t="shared" si="6"/>
        <v>0.98889403744491622</v>
      </c>
      <c r="F21" s="73">
        <f t="shared" si="10"/>
        <v>1.0548944953911647E-4</v>
      </c>
      <c r="G21" s="73">
        <f t="shared" si="11"/>
        <v>1.0667416886411602E-4</v>
      </c>
      <c r="H21" s="73">
        <f t="shared" si="9"/>
        <v>1.2800900263693923E-2</v>
      </c>
      <c r="I21" s="73">
        <f t="shared" si="12"/>
        <v>1.2560066837462872E-2</v>
      </c>
      <c r="J21" s="83">
        <f t="shared" si="1"/>
        <v>1.0787219340480453E-4</v>
      </c>
      <c r="K21" s="84">
        <f t="shared" si="2"/>
        <v>1.0908367258793718E-4</v>
      </c>
      <c r="L21" s="84">
        <f t="shared" si="7"/>
        <v>9.9266142055022839E-3</v>
      </c>
      <c r="M21" s="84">
        <f t="shared" si="13"/>
        <v>9.7278293238982055E-3</v>
      </c>
      <c r="N21" s="85">
        <f t="shared" si="3"/>
        <v>1.12800357545329E-4</v>
      </c>
      <c r="O21" s="85">
        <f t="shared" si="4"/>
        <v>1.1406718341307853E-4</v>
      </c>
      <c r="P21" s="12">
        <f t="shared" si="8"/>
        <v>5.1330232535885334E-3</v>
      </c>
      <c r="Q21" s="12">
        <f t="shared" si="14"/>
        <v>4.8992957431988398E-3</v>
      </c>
    </row>
    <row r="22" spans="1:17">
      <c r="A22" s="72">
        <f>D37</f>
        <v>-20.352243148830993</v>
      </c>
      <c r="B22" s="72">
        <f t="shared" si="5"/>
        <v>0.979647756851169</v>
      </c>
      <c r="C22" s="72">
        <f t="shared" si="0"/>
        <v>1.1133608357118567E-2</v>
      </c>
      <c r="D22" s="72">
        <f t="shared" si="15"/>
        <v>1.1011016017169443E-2</v>
      </c>
      <c r="E22" s="72">
        <f t="shared" ref="E22:E26" si="16">1-D22</f>
        <v>0.98898898398283053</v>
      </c>
      <c r="F22" s="73">
        <f t="shared" ref="F22:F26" si="17">E22^14*D22^2</f>
        <v>1.0383293902996684E-4</v>
      </c>
      <c r="G22" s="73">
        <f t="shared" ref="G22:G26" si="18">F22/E22</f>
        <v>1.0498897430769506E-4</v>
      </c>
      <c r="H22" s="73">
        <f t="shared" ref="H22:H26" si="19">G22*((16*15) /2)</f>
        <v>1.2598676916923407E-2</v>
      </c>
      <c r="I22" s="73">
        <f t="shared" ref="I22:I26" si="20">H22-$F$32</f>
        <v>1.2357843490692355E-2</v>
      </c>
      <c r="J22" s="83">
        <f t="shared" ref="J22:J26" si="21">E22^12*D22^2</f>
        <v>1.0615788042945254E-4</v>
      </c>
      <c r="K22" s="84">
        <f t="shared" ref="K22:K26" si="22">J22/E22</f>
        <v>1.0733980069417589E-4</v>
      </c>
      <c r="L22" s="84">
        <f t="shared" ref="L22:L26" si="23">K22*((14*13)/2)</f>
        <v>9.7679218631700065E-3</v>
      </c>
      <c r="M22" s="84">
        <f t="shared" ref="M22:M26" si="24">L22-$F$31</f>
        <v>9.5691369815659282E-3</v>
      </c>
      <c r="N22" s="85">
        <f t="shared" ref="N22:N26" si="25">E22^8*D22^2</f>
        <v>1.1096510337379671E-4</v>
      </c>
      <c r="O22" s="85">
        <f t="shared" ref="O22:O26" si="26">N22/E22</f>
        <v>1.1220054537606774E-4</v>
      </c>
      <c r="P22" s="12">
        <f t="shared" ref="P22:P26" si="27">O22*((10*9)/2)</f>
        <v>5.0490245419230481E-3</v>
      </c>
      <c r="Q22" s="12">
        <f t="shared" ref="Q22:Q26" si="28">P22-$F$29</f>
        <v>4.8152970315333546E-3</v>
      </c>
    </row>
    <row r="23" spans="1:17">
      <c r="A23" s="72">
        <f>D38</f>
        <v>-12.644453810510715</v>
      </c>
      <c r="B23" s="72">
        <f t="shared" si="5"/>
        <v>0.98735554618948929</v>
      </c>
      <c r="C23" s="72">
        <f t="shared" si="0"/>
        <v>1.1221206687428499E-2</v>
      </c>
      <c r="D23" s="72">
        <f t="shared" si="15"/>
        <v>1.1096688452754144E-2</v>
      </c>
      <c r="E23" s="72">
        <f t="shared" si="16"/>
        <v>0.98890331154724587</v>
      </c>
      <c r="F23" s="73">
        <f t="shared" si="17"/>
        <v>1.0532717189299415E-4</v>
      </c>
      <c r="G23" s="73">
        <f t="shared" si="18"/>
        <v>1.0650906985860774E-4</v>
      </c>
      <c r="H23" s="73">
        <f t="shared" si="19"/>
        <v>1.278108838303293E-2</v>
      </c>
      <c r="I23" s="73">
        <f t="shared" si="20"/>
        <v>1.2540254956801878E-2</v>
      </c>
      <c r="J23" s="83">
        <f t="shared" si="21"/>
        <v>1.0770423014557694E-4</v>
      </c>
      <c r="K23" s="84">
        <f t="shared" si="22"/>
        <v>1.0891280157315082E-4</v>
      </c>
      <c r="L23" s="84">
        <f t="shared" si="23"/>
        <v>9.9110649431567253E-3</v>
      </c>
      <c r="M23" s="84">
        <f t="shared" si="24"/>
        <v>9.7122800615526469E-3</v>
      </c>
      <c r="N23" s="85">
        <f t="shared" si="25"/>
        <v>1.1262049605360693E-4</v>
      </c>
      <c r="O23" s="85">
        <f t="shared" si="26"/>
        <v>1.1388423391706517E-4</v>
      </c>
      <c r="P23" s="12">
        <f t="shared" si="27"/>
        <v>5.1247905262679326E-3</v>
      </c>
      <c r="Q23" s="12">
        <f t="shared" si="28"/>
        <v>4.891063015878239E-3</v>
      </c>
    </row>
    <row r="24" spans="1:17">
      <c r="A24" s="72">
        <f>D39</f>
        <v>-16.713071237317468</v>
      </c>
      <c r="B24" s="72">
        <f t="shared" si="5"/>
        <v>0.98328692876268253</v>
      </c>
      <c r="C24" s="72">
        <f t="shared" si="0"/>
        <v>1.1174967217508602E-2</v>
      </c>
      <c r="D24" s="72">
        <f t="shared" si="15"/>
        <v>1.105146743125892E-2</v>
      </c>
      <c r="E24" s="72">
        <f t="shared" si="16"/>
        <v>0.98894853256874105</v>
      </c>
      <c r="F24" s="73">
        <f t="shared" si="17"/>
        <v>1.0453736805666568E-4</v>
      </c>
      <c r="G24" s="73">
        <f t="shared" si="18"/>
        <v>1.0570556971770355E-4</v>
      </c>
      <c r="H24" s="73">
        <f t="shared" si="19"/>
        <v>1.2684668366124426E-2</v>
      </c>
      <c r="I24" s="73">
        <f t="shared" si="20"/>
        <v>1.2443834939893374E-2</v>
      </c>
      <c r="J24" s="83">
        <f t="shared" si="21"/>
        <v>1.0688682599400695E-4</v>
      </c>
      <c r="K24" s="84">
        <f t="shared" si="22"/>
        <v>1.0808128277047352E-4</v>
      </c>
      <c r="L24" s="84">
        <f t="shared" si="23"/>
        <v>9.8353967321130904E-3</v>
      </c>
      <c r="M24" s="84">
        <f t="shared" si="24"/>
        <v>9.636611850509012E-3</v>
      </c>
      <c r="N24" s="85">
        <f t="shared" si="25"/>
        <v>1.1174533951322492E-4</v>
      </c>
      <c r="O24" s="85">
        <f t="shared" si="26"/>
        <v>1.1299409001899457E-4</v>
      </c>
      <c r="P24" s="12">
        <f t="shared" si="27"/>
        <v>5.0847340508547558E-3</v>
      </c>
      <c r="Q24" s="12">
        <f t="shared" si="28"/>
        <v>4.8510065404650622E-3</v>
      </c>
    </row>
    <row r="25" spans="1:17">
      <c r="A25" s="72">
        <f>D40</f>
        <v>-17.106026968804812</v>
      </c>
      <c r="B25" s="72">
        <f t="shared" si="5"/>
        <v>0.98289397303119519</v>
      </c>
      <c r="C25" s="72">
        <f t="shared" si="0"/>
        <v>1.1170501311079002E-2</v>
      </c>
      <c r="D25" s="72">
        <f t="shared" si="15"/>
        <v>1.1047099669734611E-2</v>
      </c>
      <c r="E25" s="72">
        <f t="shared" si="16"/>
        <v>0.98895290033026539</v>
      </c>
      <c r="F25" s="73">
        <f t="shared" si="17"/>
        <v>1.0446121268866943E-4</v>
      </c>
      <c r="G25" s="73">
        <f t="shared" si="18"/>
        <v>1.0562809680196511E-4</v>
      </c>
      <c r="H25" s="73">
        <f t="shared" si="19"/>
        <v>1.2675371616235814E-2</v>
      </c>
      <c r="I25" s="73">
        <f t="shared" si="20"/>
        <v>1.2434538190004762E-2</v>
      </c>
      <c r="J25" s="83">
        <f t="shared" si="21"/>
        <v>1.0680801559577825E-4</v>
      </c>
      <c r="K25" s="84">
        <f t="shared" si="22"/>
        <v>1.0800111467402463E-4</v>
      </c>
      <c r="L25" s="84">
        <f t="shared" si="23"/>
        <v>9.8281014353362416E-3</v>
      </c>
      <c r="M25" s="84">
        <f t="shared" si="24"/>
        <v>9.6293165537321632E-3</v>
      </c>
      <c r="N25" s="85">
        <f t="shared" si="25"/>
        <v>1.116609741607662E-4</v>
      </c>
      <c r="O25" s="85">
        <f t="shared" si="26"/>
        <v>1.1290828321902539E-4</v>
      </c>
      <c r="P25" s="12">
        <f t="shared" si="27"/>
        <v>5.0808727448561422E-3</v>
      </c>
      <c r="Q25" s="12">
        <f t="shared" si="28"/>
        <v>4.8471452344664486E-3</v>
      </c>
    </row>
    <row r="26" spans="1:17">
      <c r="A26" s="72">
        <f>D41</f>
        <v>-23.633026104479924</v>
      </c>
      <c r="B26" s="72">
        <f t="shared" si="5"/>
        <v>0.97636697389552007</v>
      </c>
      <c r="C26" s="72">
        <f t="shared" si="0"/>
        <v>1.1096322554872348E-2</v>
      </c>
      <c r="D26" s="72">
        <f t="shared" si="15"/>
        <v>1.0974545458570935E-2</v>
      </c>
      <c r="E26" s="72">
        <f t="shared" si="16"/>
        <v>0.98902545454142909</v>
      </c>
      <c r="F26" s="73">
        <f t="shared" si="17"/>
        <v>1.0319951398267473E-4</v>
      </c>
      <c r="G26" s="73">
        <f t="shared" si="18"/>
        <v>1.0434464907733253E-4</v>
      </c>
      <c r="H26" s="73">
        <f t="shared" si="19"/>
        <v>1.2521357889279904E-2</v>
      </c>
      <c r="I26" s="73">
        <f t="shared" si="20"/>
        <v>1.2280524463048852E-2</v>
      </c>
      <c r="J26" s="83">
        <f t="shared" si="21"/>
        <v>1.055024909603696E-4</v>
      </c>
      <c r="K26" s="84">
        <f t="shared" si="22"/>
        <v>1.0667318063040836E-4</v>
      </c>
      <c r="L26" s="84">
        <f t="shared" si="23"/>
        <v>9.7072594373671609E-3</v>
      </c>
      <c r="M26" s="84">
        <f t="shared" si="24"/>
        <v>9.5084745557630825E-3</v>
      </c>
      <c r="N26" s="85">
        <f t="shared" si="25"/>
        <v>1.1026376992161106E-4</v>
      </c>
      <c r="O26" s="85">
        <f t="shared" si="26"/>
        <v>1.1148729227877749E-4</v>
      </c>
      <c r="P26" s="12">
        <f t="shared" si="27"/>
        <v>5.0169281525449866E-3</v>
      </c>
      <c r="Q26" s="12">
        <f t="shared" si="28"/>
        <v>4.783200642155293E-3</v>
      </c>
    </row>
    <row r="27" spans="1:17">
      <c r="A27" s="72"/>
      <c r="B27" s="72"/>
      <c r="C27" s="72"/>
      <c r="D27" s="72"/>
      <c r="E27" s="72"/>
      <c r="F27" s="72"/>
      <c r="G27" s="72"/>
      <c r="H27" s="72"/>
      <c r="I27" s="72"/>
      <c r="K27" s="72"/>
      <c r="L27" s="72"/>
      <c r="M27" s="72"/>
      <c r="N27" s="72"/>
      <c r="O27" s="72"/>
    </row>
    <row r="28" spans="1:17" ht="34">
      <c r="A28" s="76" t="s">
        <v>127</v>
      </c>
      <c r="B28" s="71" t="s">
        <v>128</v>
      </c>
      <c r="C28" s="89" t="s">
        <v>142</v>
      </c>
      <c r="D28" s="71" t="s">
        <v>129</v>
      </c>
      <c r="E28" s="75" t="s">
        <v>136</v>
      </c>
      <c r="F28" s="77" t="s">
        <v>134</v>
      </c>
      <c r="G28" s="71" t="s">
        <v>135</v>
      </c>
      <c r="H28" s="72"/>
      <c r="I28" s="72"/>
      <c r="K28" s="72"/>
      <c r="L28" s="72"/>
      <c r="M28" s="72"/>
      <c r="N28" s="72"/>
      <c r="O28" s="72"/>
    </row>
    <row r="29" spans="1:17" ht="34">
      <c r="A29" s="78" t="s">
        <v>149</v>
      </c>
      <c r="B29" s="97">
        <v>-23.8</v>
      </c>
      <c r="C29" s="97">
        <v>0.49</v>
      </c>
      <c r="D29" s="32">
        <f>'collated data - FINAL'!H109</f>
        <v>4.7796161712970742E-3</v>
      </c>
      <c r="E29" s="32">
        <f>'collated data - FINAL'!I108</f>
        <v>1.0707259268393205E-2</v>
      </c>
      <c r="F29" s="32">
        <f>P16-D29</f>
        <v>2.337275103896936E-4</v>
      </c>
      <c r="G29" s="32">
        <f>F29+D29</f>
        <v>5.0133436816867678E-3</v>
      </c>
      <c r="H29" s="72"/>
      <c r="I29" s="72"/>
      <c r="K29" s="72"/>
      <c r="L29" s="72"/>
      <c r="M29" s="72"/>
      <c r="N29" s="72"/>
      <c r="O29" s="72"/>
    </row>
    <row r="30" spans="1:17" ht="34">
      <c r="A30" s="78" t="s">
        <v>150</v>
      </c>
      <c r="B30" s="97">
        <v>-24.4</v>
      </c>
      <c r="C30" s="97">
        <v>0.56000000000000005</v>
      </c>
      <c r="D30" s="32">
        <f>'collated data - FINAL'!S109</f>
        <v>9.5019803987612048E-3</v>
      </c>
      <c r="E30" s="32">
        <f>'collated data - FINAL'!T109</f>
        <v>4.5585766615958969E-3</v>
      </c>
      <c r="F30" s="32">
        <f>L16-D30</f>
        <v>1.9850349360722545E-4</v>
      </c>
      <c r="G30" s="32">
        <f t="shared" ref="G30:G33" si="29">F30+D30</f>
        <v>9.7004838923684302E-3</v>
      </c>
      <c r="H30" s="72"/>
      <c r="I30" s="72"/>
      <c r="K30" s="72"/>
      <c r="L30" s="72"/>
      <c r="M30" s="72"/>
      <c r="N30" s="72"/>
      <c r="O30" s="72"/>
    </row>
    <row r="31" spans="1:17" ht="34">
      <c r="A31" s="78" t="s">
        <v>151</v>
      </c>
      <c r="B31" s="97">
        <v>-24.1</v>
      </c>
      <c r="C31" s="97">
        <v>0.46</v>
      </c>
      <c r="D31" s="72">
        <f>'collated data - FINAL'!AD109</f>
        <v>9.5016990107643518E-3</v>
      </c>
      <c r="E31" s="32">
        <f>'collated data - FINAL'!AE109</f>
        <v>4.3308090064732218E-3</v>
      </c>
      <c r="F31" s="32">
        <f>L16-D31</f>
        <v>1.987848816040784E-4</v>
      </c>
      <c r="G31" s="32">
        <f t="shared" si="29"/>
        <v>9.7004838923684302E-3</v>
      </c>
      <c r="H31" s="72"/>
      <c r="I31" s="72"/>
      <c r="K31" s="72"/>
      <c r="L31" s="72"/>
      <c r="M31" s="72"/>
      <c r="N31" s="72"/>
      <c r="O31" s="72"/>
    </row>
    <row r="32" spans="1:17" ht="34">
      <c r="A32" s="79" t="s">
        <v>152</v>
      </c>
      <c r="B32" s="97">
        <v>-24.2</v>
      </c>
      <c r="C32" s="97">
        <v>0.42</v>
      </c>
      <c r="D32" s="72">
        <f>'collated data - FINAL'!AO109</f>
        <v>1.2243663544170075E-2</v>
      </c>
      <c r="E32" s="32">
        <f>'collated data - FINAL'!AP109</f>
        <v>2.5481018425751612E-3</v>
      </c>
      <c r="F32" s="32">
        <f>H18-D32</f>
        <v>2.4083342623105151E-4</v>
      </c>
      <c r="G32" s="32">
        <f t="shared" si="29"/>
        <v>1.2484496970401127E-2</v>
      </c>
      <c r="H32" s="72"/>
      <c r="I32" s="72"/>
      <c r="K32" s="72"/>
      <c r="L32" s="72"/>
      <c r="M32" s="72"/>
      <c r="N32" s="72"/>
      <c r="O32" s="72"/>
    </row>
    <row r="33" spans="1:15" ht="34">
      <c r="A33" s="78" t="s">
        <v>153</v>
      </c>
      <c r="B33" s="97">
        <v>-25.2</v>
      </c>
      <c r="C33" s="97">
        <v>0.49</v>
      </c>
      <c r="D33" s="72">
        <f>'collated data - FINAL'!AZ109</f>
        <v>1.2244172031591444E-2</v>
      </c>
      <c r="E33" s="32">
        <f>'collated data - FINAL'!BA109</f>
        <v>2.3233953224474041E-3</v>
      </c>
      <c r="F33" s="32">
        <f>H18-D33</f>
        <v>2.4032493880968286E-4</v>
      </c>
      <c r="G33" s="32">
        <f t="shared" si="29"/>
        <v>1.2484496970401127E-2</v>
      </c>
      <c r="H33" s="72"/>
      <c r="I33" s="72"/>
      <c r="K33" s="72"/>
      <c r="L33" s="72"/>
      <c r="M33" s="72"/>
      <c r="N33" s="72"/>
      <c r="O33" s="72"/>
    </row>
    <row r="34" spans="1:15">
      <c r="A34" s="71"/>
      <c r="B34" s="98"/>
      <c r="K34" s="72"/>
      <c r="L34" s="72"/>
      <c r="M34" s="72"/>
      <c r="N34" s="72"/>
      <c r="O34" s="72"/>
    </row>
    <row r="35" spans="1:15"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</row>
    <row r="36" spans="1:15" s="78" customFormat="1" ht="51">
      <c r="A36" s="92" t="s">
        <v>130</v>
      </c>
      <c r="B36" s="74" t="s">
        <v>145</v>
      </c>
      <c r="C36" s="89" t="s">
        <v>146</v>
      </c>
      <c r="D36" s="74" t="s">
        <v>147</v>
      </c>
      <c r="E36" s="89" t="s">
        <v>148</v>
      </c>
      <c r="F36" s="71" t="s">
        <v>129</v>
      </c>
      <c r="G36" s="75" t="s">
        <v>136</v>
      </c>
      <c r="H36" s="74" t="s">
        <v>135</v>
      </c>
      <c r="I36" s="74"/>
      <c r="K36" s="79"/>
      <c r="L36" s="79"/>
      <c r="M36" s="79"/>
      <c r="N36" s="79"/>
      <c r="O36" s="79"/>
    </row>
    <row r="37" spans="1:15" s="78" customFormat="1" ht="17">
      <c r="A37" s="78" t="s">
        <v>137</v>
      </c>
      <c r="B37" s="79">
        <f>'collated data - FINAL'!J23</f>
        <v>-27.476848815154888</v>
      </c>
      <c r="C37" s="79">
        <f>'collated data - FINAL'!K23</f>
        <v>24.571332217373541</v>
      </c>
      <c r="D37" s="78">
        <f>'collated data - v2'!H42</f>
        <v>-20.352243148830993</v>
      </c>
      <c r="E37" s="78">
        <f>'collated data - v2'!I42</f>
        <v>4.9045746326710198</v>
      </c>
      <c r="F37" s="79">
        <f>'collated data - FINAL'!H108</f>
        <v>4.9832921146250658E-3</v>
      </c>
      <c r="G37" s="79">
        <f>'collated data - FINAL'!I108</f>
        <v>1.0707259268393205E-2</v>
      </c>
      <c r="H37" s="79">
        <f>((F37+F29))</f>
        <v>5.2170196250147594E-3</v>
      </c>
      <c r="I37" s="79"/>
      <c r="K37" s="79"/>
      <c r="L37" s="79"/>
      <c r="M37" s="79"/>
      <c r="N37" s="79"/>
      <c r="O37" s="79"/>
    </row>
    <row r="38" spans="1:15" s="78" customFormat="1" ht="17">
      <c r="A38" s="78" t="s">
        <v>138</v>
      </c>
      <c r="B38" s="79">
        <f>'collated data - FINAL'!U23</f>
        <v>-14.850717728731034</v>
      </c>
      <c r="C38" s="79">
        <f>'collated data - FINAL'!V23</f>
        <v>6.9566496160073408</v>
      </c>
      <c r="D38" s="78">
        <f>'collated data - v2'!Q42</f>
        <v>-12.644453810510715</v>
      </c>
      <c r="E38" s="78">
        <f>'collated data - v2'!R42</f>
        <v>4.1910226162314439</v>
      </c>
      <c r="F38" s="79">
        <f>'collated data - FINAL'!S108</f>
        <v>9.6840837738836668E-3</v>
      </c>
      <c r="G38" s="79">
        <f>'collated data - FINAL'!T109</f>
        <v>4.5585766615958969E-3</v>
      </c>
      <c r="H38" s="79">
        <f>F38+F30</f>
        <v>9.8825872674908923E-3</v>
      </c>
      <c r="I38" s="79"/>
      <c r="K38" s="79"/>
      <c r="L38" s="79"/>
      <c r="M38" s="79"/>
      <c r="N38" s="79"/>
      <c r="O38" s="79"/>
    </row>
    <row r="39" spans="1:15" s="78" customFormat="1" ht="17">
      <c r="A39" s="78" t="s">
        <v>139</v>
      </c>
      <c r="B39" s="79">
        <f>'collated data - FINAL'!AF23</f>
        <v>-10.454100181289672</v>
      </c>
      <c r="C39" s="79">
        <f>'collated data - FINAL'!AG23</f>
        <v>0.54899782776268435</v>
      </c>
      <c r="D39" s="78">
        <f>'collated data - v2'!Z42</f>
        <v>-16.713071237317468</v>
      </c>
      <c r="E39" s="78">
        <f>'collated data - v2'!AA42</f>
        <v>4.5140102784322647</v>
      </c>
      <c r="F39" s="79">
        <f>'collated data - FINAL'!AD108</f>
        <v>9.6733529951766924E-3</v>
      </c>
      <c r="G39" s="79">
        <f>'collated data - FINAL'!AE108</f>
        <v>8.7555743171897783E-3</v>
      </c>
      <c r="H39" s="79">
        <f>F39+F31</f>
        <v>9.8721378767807708E-3</v>
      </c>
      <c r="I39" s="79"/>
      <c r="K39" s="79"/>
      <c r="L39" s="79"/>
      <c r="M39" s="79"/>
      <c r="N39" s="79"/>
      <c r="O39" s="79"/>
    </row>
    <row r="40" spans="1:15">
      <c r="A40" s="72" t="s">
        <v>141</v>
      </c>
      <c r="B40" s="72">
        <f>'collated data - FINAL'!AQ23</f>
        <v>-27.086179951660739</v>
      </c>
      <c r="C40" s="72">
        <f>'collated data - FINAL'!AR23</f>
        <v>9.8347477209093661</v>
      </c>
      <c r="D40" s="32">
        <f>'collated data - v2'!AI42</f>
        <v>-17.106026968804812</v>
      </c>
      <c r="E40" s="32">
        <f>'collated data - v2'!AJ42</f>
        <v>2.5416762408600606</v>
      </c>
      <c r="F40" s="72">
        <f>'collated data - FINAL'!AO108</f>
        <v>1.253037790718772E-2</v>
      </c>
      <c r="G40" s="72">
        <f>'collated data - FINAL'!AP108</f>
        <v>5.032070905026503E-3</v>
      </c>
      <c r="H40" s="72">
        <f>F40+F32</f>
        <v>1.2771211333418771E-2</v>
      </c>
      <c r="I40" s="79"/>
      <c r="K40" s="72"/>
      <c r="L40" s="72"/>
      <c r="M40" s="72"/>
      <c r="N40" s="72"/>
      <c r="O40" s="72"/>
    </row>
    <row r="41" spans="1:15">
      <c r="A41" s="32" t="s">
        <v>140</v>
      </c>
      <c r="B41" s="72">
        <f>'collated data - FINAL'!BB23</f>
        <v>-29.579402891520502</v>
      </c>
      <c r="C41" s="72">
        <f>'collated data - FINAL'!BC23</f>
        <v>1.2626914534230891</v>
      </c>
      <c r="D41" s="32">
        <f>'collated data - v2'!AR42</f>
        <v>-23.633026104479924</v>
      </c>
      <c r="E41" s="32">
        <f>'collated data - v2'!AS42</f>
        <v>2.1149845144850712</v>
      </c>
      <c r="F41" s="72">
        <f>'collated data - FINAL'!AZ108</f>
        <v>1.2420586462036415E-2</v>
      </c>
      <c r="G41" s="72">
        <f>'collated data - FINAL'!BA108</f>
        <v>3.8610485070341744E-3</v>
      </c>
      <c r="H41" s="72">
        <f>F41+F33</f>
        <v>1.2660911400846098E-2</v>
      </c>
      <c r="I41" s="79"/>
      <c r="K41" s="72"/>
      <c r="L41" s="72"/>
      <c r="M41" s="72"/>
      <c r="N41" s="72"/>
      <c r="O41" s="72"/>
    </row>
    <row r="42" spans="1:15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</row>
    <row r="43" spans="1:15">
      <c r="A43" s="72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</row>
    <row r="44" spans="1:15">
      <c r="A44" s="72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</row>
    <row r="45" spans="1:15">
      <c r="A45" s="72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</row>
    <row r="46" spans="1:15">
      <c r="A46" s="72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</row>
    <row r="47" spans="1:15">
      <c r="A47" s="72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</row>
    <row r="48" spans="1:15">
      <c r="A48" s="72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</row>
    <row r="49" spans="2:15"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</row>
    <row r="50" spans="2:15">
      <c r="B50" s="72"/>
      <c r="C50" s="72"/>
      <c r="D50" s="71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</row>
    <row r="51" spans="2:15"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</row>
    <row r="52" spans="2:15"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</row>
    <row r="53" spans="2:15"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</row>
    <row r="54" spans="2:15"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</row>
    <row r="55" spans="2:15"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</row>
    <row r="56" spans="2:15"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77BA9-7CDE-C040-9306-2C7B51801BB8}">
  <dimension ref="A1:P53"/>
  <sheetViews>
    <sheetView topLeftCell="A26" zoomScale="88" zoomScaleNormal="88" workbookViewId="0">
      <selection activeCell="F27" sqref="F27"/>
    </sheetView>
  </sheetViews>
  <sheetFormatPr baseColWidth="10" defaultRowHeight="16"/>
  <cols>
    <col min="1" max="1" width="19.5" style="32" customWidth="1"/>
    <col min="2" max="2" width="24" style="32" customWidth="1"/>
    <col min="3" max="3" width="14.83203125" style="32" customWidth="1"/>
    <col min="4" max="4" width="18.5" style="32" customWidth="1"/>
    <col min="5" max="5" width="26.6640625" style="32" customWidth="1"/>
    <col min="6" max="6" width="17.83203125" style="32" customWidth="1"/>
    <col min="7" max="7" width="18.1640625" style="32" customWidth="1"/>
    <col min="8" max="8" width="15.83203125" style="32" customWidth="1"/>
    <col min="9" max="9" width="17.5" style="32" customWidth="1"/>
    <col min="10" max="16384" width="10.83203125" style="32"/>
  </cols>
  <sheetData>
    <row r="1" spans="1:16" ht="34">
      <c r="A1" s="93"/>
      <c r="B1" s="94" t="s">
        <v>131</v>
      </c>
      <c r="C1" s="93"/>
      <c r="E1" s="72"/>
      <c r="F1" s="90" t="s">
        <v>115</v>
      </c>
      <c r="G1" s="82" t="s">
        <v>116</v>
      </c>
      <c r="H1" s="91" t="s">
        <v>117</v>
      </c>
    </row>
    <row r="2" spans="1:16">
      <c r="A2" s="95" t="s">
        <v>106</v>
      </c>
      <c r="B2" s="96">
        <v>1.1237199999999999E-2</v>
      </c>
      <c r="C2" s="96"/>
      <c r="E2" s="71" t="s">
        <v>114</v>
      </c>
      <c r="F2" s="72">
        <v>16</v>
      </c>
      <c r="G2" s="72">
        <v>14</v>
      </c>
      <c r="H2" s="32">
        <v>10</v>
      </c>
      <c r="I2" s="72"/>
      <c r="J2" s="72"/>
      <c r="K2" s="72"/>
      <c r="L2" s="72"/>
      <c r="M2" s="72"/>
    </row>
    <row r="3" spans="1:16">
      <c r="A3" s="95" t="s">
        <v>107</v>
      </c>
      <c r="B3" s="96">
        <f>1-B2</f>
        <v>0.98876280000000005</v>
      </c>
      <c r="C3" s="96"/>
      <c r="E3" s="71" t="s">
        <v>132</v>
      </c>
      <c r="F3" s="72">
        <f>B3^15 *B2</f>
        <v>9.4850558150320688E-3</v>
      </c>
      <c r="G3" s="72">
        <f>B3^13 *B2</f>
        <v>9.7018745228647472E-3</v>
      </c>
      <c r="H3" s="32">
        <f>B3^9 *B2</f>
        <v>1.0150493997434191E-2</v>
      </c>
      <c r="I3" s="72"/>
      <c r="J3" s="72"/>
      <c r="K3" s="72"/>
      <c r="L3" s="72"/>
      <c r="M3" s="72"/>
    </row>
    <row r="4" spans="1:16">
      <c r="A4" s="95" t="s">
        <v>108</v>
      </c>
      <c r="B4" s="96">
        <f>B2/B3</f>
        <v>1.1364909764000019E-2</v>
      </c>
      <c r="C4" s="96"/>
      <c r="E4" s="71" t="s">
        <v>133</v>
      </c>
      <c r="F4" s="72">
        <f>B3^14 *B2^2</f>
        <v>1.0779680344434312E-4</v>
      </c>
      <c r="G4" s="72">
        <f>B3^12 *B2^2</f>
        <v>1.102609284940086E-4</v>
      </c>
      <c r="H4" s="32">
        <f>B3^8 *B2^2</f>
        <v>1.1535944834086342E-4</v>
      </c>
      <c r="I4" s="72"/>
      <c r="J4" s="72"/>
      <c r="K4" s="72"/>
      <c r="L4" s="72"/>
      <c r="M4" s="72"/>
    </row>
    <row r="5" spans="1:16">
      <c r="A5" s="95" t="s">
        <v>109</v>
      </c>
      <c r="B5" s="96">
        <f>B2^2*B3^14</f>
        <v>1.0779680344434312E-4</v>
      </c>
      <c r="C5" s="96">
        <f>B5/B4</f>
        <v>9.4850558150320688E-3</v>
      </c>
      <c r="F5" s="72"/>
      <c r="G5" s="72"/>
      <c r="H5" s="72"/>
      <c r="I5" s="72"/>
      <c r="J5" s="72"/>
      <c r="K5" s="72"/>
      <c r="L5" s="72"/>
      <c r="M5" s="72"/>
    </row>
    <row r="6" spans="1:16">
      <c r="B6" s="72"/>
      <c r="C6" s="72"/>
      <c r="D6" s="72"/>
      <c r="F6" s="72"/>
      <c r="G6" s="72"/>
      <c r="H6" s="72"/>
      <c r="I6" s="72"/>
      <c r="J6" s="72"/>
      <c r="K6" s="72"/>
      <c r="L6" s="72"/>
      <c r="M6" s="72"/>
    </row>
    <row r="7" spans="1:16">
      <c r="B7" s="72"/>
      <c r="C7" s="72"/>
      <c r="D7" s="72"/>
      <c r="F7" s="72"/>
      <c r="G7" s="72"/>
      <c r="H7" s="72"/>
      <c r="I7" s="72"/>
      <c r="J7" s="72"/>
      <c r="K7" s="72"/>
      <c r="L7" s="72"/>
      <c r="M7" s="72"/>
    </row>
    <row r="8" spans="1:16">
      <c r="A8" s="50" t="s">
        <v>126</v>
      </c>
      <c r="F8" s="72"/>
      <c r="G8" s="72"/>
      <c r="H8" s="72"/>
      <c r="I8" s="72"/>
      <c r="J8" s="72"/>
      <c r="K8" s="72"/>
      <c r="L8" s="72"/>
      <c r="M8" s="72"/>
    </row>
    <row r="9" spans="1:16" s="78" customFormat="1" ht="46" customHeight="1">
      <c r="A9" s="74" t="s">
        <v>110</v>
      </c>
      <c r="B9" s="74" t="s">
        <v>111</v>
      </c>
      <c r="C9" s="74" t="s">
        <v>112</v>
      </c>
      <c r="D9" s="74" t="s">
        <v>106</v>
      </c>
      <c r="E9" s="74" t="s">
        <v>107</v>
      </c>
      <c r="F9" s="80" t="s">
        <v>118</v>
      </c>
      <c r="G9" s="80" t="s">
        <v>119</v>
      </c>
      <c r="H9" s="81" t="s">
        <v>113</v>
      </c>
      <c r="I9" s="86" t="s">
        <v>120</v>
      </c>
      <c r="J9" s="82" t="s">
        <v>121</v>
      </c>
      <c r="K9" s="82" t="s">
        <v>122</v>
      </c>
      <c r="L9" s="87" t="s">
        <v>123</v>
      </c>
      <c r="M9" s="87" t="s">
        <v>124</v>
      </c>
      <c r="N9" s="88" t="s">
        <v>125</v>
      </c>
      <c r="O9" s="89"/>
      <c r="P9" s="89"/>
    </row>
    <row r="10" spans="1:16">
      <c r="A10" s="72">
        <v>0</v>
      </c>
      <c r="B10" s="72">
        <f>(A10/1000)+1</f>
        <v>1</v>
      </c>
      <c r="C10" s="72">
        <f t="shared" ref="C10:C20" si="0">B10*$B$4</f>
        <v>1.1364909764000019E-2</v>
      </c>
      <c r="D10" s="72">
        <f>C10/(1+C10)</f>
        <v>1.1237199999999998E-2</v>
      </c>
      <c r="E10" s="72">
        <f>1-D10</f>
        <v>0.98876280000000005</v>
      </c>
      <c r="F10" s="73">
        <f>E10^14*D10^2</f>
        <v>1.0779680344434309E-4</v>
      </c>
      <c r="G10" s="73">
        <f>F10/E10</f>
        <v>1.0902190438833569E-4</v>
      </c>
      <c r="H10" s="73">
        <f>G10*((16*15) /2)</f>
        <v>1.3082628526600283E-2</v>
      </c>
      <c r="I10" s="83">
        <f t="shared" ref="I10:I20" si="1">E10^12*D10^2</f>
        <v>1.1026092849400857E-4</v>
      </c>
      <c r="J10" s="84">
        <f t="shared" ref="J10:J20" si="2">I10/E10</f>
        <v>1.1151403399683783E-4</v>
      </c>
      <c r="K10" s="84">
        <f>J10*((14*13)/2)</f>
        <v>1.0147777093712243E-2</v>
      </c>
      <c r="L10" s="85">
        <f t="shared" ref="L10:L20" si="3">E10^8*D10^2</f>
        <v>1.1535944834086341E-4</v>
      </c>
      <c r="M10" s="85">
        <f t="shared" ref="M10:M20" si="4">L10/E10</f>
        <v>1.1667049806168214E-4</v>
      </c>
      <c r="N10" s="12">
        <f>M10*((10*9)/2)</f>
        <v>5.2501724127756964E-3</v>
      </c>
    </row>
    <row r="11" spans="1:16">
      <c r="A11" s="72">
        <v>-5</v>
      </c>
      <c r="B11" s="72">
        <f t="shared" ref="B11:B20" si="5">(A11/1000)+1</f>
        <v>0.995</v>
      </c>
      <c r="C11" s="72">
        <f t="shared" si="0"/>
        <v>1.1308085215180019E-2</v>
      </c>
      <c r="D11" s="72">
        <f>C11/(1+C11)</f>
        <v>1.1181642251751554E-2</v>
      </c>
      <c r="E11" s="72">
        <f t="shared" ref="E11:E20" si="6">1-D11</f>
        <v>0.98881835774824844</v>
      </c>
      <c r="F11" s="73">
        <f>E11^14*D11^2</f>
        <v>1.0681751625905236E-4</v>
      </c>
      <c r="G11" s="73">
        <f>F11/E11</f>
        <v>1.080254178353836E-4</v>
      </c>
      <c r="H11" s="73">
        <f>G11*((16*15) /2)</f>
        <v>1.2963050140246032E-2</v>
      </c>
      <c r="I11" s="83">
        <f t="shared" si="1"/>
        <v>1.0924697846567155E-4</v>
      </c>
      <c r="J11" s="84">
        <f t="shared" si="2"/>
        <v>1.1048235260766231E-4</v>
      </c>
      <c r="K11" s="84">
        <f t="shared" ref="K11:K20" si="7">J11*((14*13)/2)</f>
        <v>1.0053894087297271E-2</v>
      </c>
      <c r="L11" s="85">
        <f t="shared" si="3"/>
        <v>1.1427292699936173E-4</v>
      </c>
      <c r="M11" s="85">
        <f t="shared" si="4"/>
        <v>1.1556513499565855E-4</v>
      </c>
      <c r="N11" s="12">
        <f t="shared" ref="N11:N20" si="8">M11*((10*9)/2)</f>
        <v>5.2004310748046349E-3</v>
      </c>
    </row>
    <row r="12" spans="1:16">
      <c r="A12" s="72">
        <v>-10</v>
      </c>
      <c r="B12" s="72">
        <f t="shared" si="5"/>
        <v>0.99</v>
      </c>
      <c r="C12" s="72">
        <f>B12*$B$4</f>
        <v>1.1251260666360018E-2</v>
      </c>
      <c r="D12" s="72">
        <f>C12/(1+C12)</f>
        <v>1.1126078259666194E-2</v>
      </c>
      <c r="E12" s="72">
        <f>1-D12</f>
        <v>0.98887392174033384</v>
      </c>
      <c r="F12" s="73">
        <f>E12^14*D12^2</f>
        <v>1.0584178520764198E-4</v>
      </c>
      <c r="G12" s="73">
        <f>F12/E12</f>
        <v>1.0703263872240605E-4</v>
      </c>
      <c r="H12" s="73">
        <f t="shared" ref="H12:H20" si="9">G12*((16*15) /2)</f>
        <v>1.2843916646688725E-2</v>
      </c>
      <c r="I12" s="83">
        <f t="shared" si="1"/>
        <v>1.0823689084048018E-4</v>
      </c>
      <c r="J12" s="84">
        <f t="shared" si="2"/>
        <v>1.0945469231304278E-4</v>
      </c>
      <c r="K12" s="84">
        <f t="shared" si="7"/>
        <v>9.9603770004868929E-3</v>
      </c>
      <c r="L12" s="85">
        <f t="shared" si="3"/>
        <v>1.1319092592627456E-4</v>
      </c>
      <c r="M12" s="85">
        <f t="shared" si="4"/>
        <v>1.1446446653893771E-4</v>
      </c>
      <c r="N12" s="12">
        <f t="shared" si="8"/>
        <v>5.150900994252197E-3</v>
      </c>
    </row>
    <row r="13" spans="1:16">
      <c r="A13" s="72">
        <v>-15</v>
      </c>
      <c r="B13" s="72">
        <f t="shared" si="5"/>
        <v>0.98499999999999999</v>
      </c>
      <c r="C13" s="72">
        <f t="shared" si="0"/>
        <v>1.1194436117540018E-2</v>
      </c>
      <c r="D13" s="72">
        <f>C13/(1+C13)</f>
        <v>1.1070508022691286E-2</v>
      </c>
      <c r="E13" s="72">
        <f t="shared" si="6"/>
        <v>0.98892949197730873</v>
      </c>
      <c r="F13" s="73">
        <f t="shared" ref="F13:F20" si="10">E13^14*D13^2</f>
        <v>1.0486962217912392E-4</v>
      </c>
      <c r="G13" s="73">
        <f t="shared" ref="G13:G20" si="11">F13/E13</f>
        <v>1.0604357846527869E-4</v>
      </c>
      <c r="H13" s="73">
        <f t="shared" si="9"/>
        <v>1.2725229415833443E-2</v>
      </c>
      <c r="I13" s="83">
        <f t="shared" si="1"/>
        <v>1.0723067653008358E-4</v>
      </c>
      <c r="J13" s="84">
        <f t="shared" si="2"/>
        <v>1.084310634883402E-4</v>
      </c>
      <c r="K13" s="84">
        <f t="shared" si="7"/>
        <v>9.8672267774389585E-3</v>
      </c>
      <c r="L13" s="85">
        <f t="shared" si="3"/>
        <v>1.1211345368566564E-4</v>
      </c>
      <c r="M13" s="85">
        <f t="shared" si="4"/>
        <v>1.1336850058086661E-4</v>
      </c>
      <c r="N13" s="12">
        <f t="shared" si="8"/>
        <v>5.1015825261389973E-3</v>
      </c>
    </row>
    <row r="14" spans="1:16">
      <c r="A14" s="72">
        <v>-20</v>
      </c>
      <c r="B14" s="72">
        <f t="shared" si="5"/>
        <v>0.98</v>
      </c>
      <c r="C14" s="72">
        <f t="shared" si="0"/>
        <v>1.1137611568720018E-2</v>
      </c>
      <c r="D14" s="72">
        <f>C14/(1+C14)</f>
        <v>1.1014931539773972E-2</v>
      </c>
      <c r="E14" s="72">
        <f t="shared" si="6"/>
        <v>0.98898506846022605</v>
      </c>
      <c r="F14" s="73">
        <f t="shared" si="10"/>
        <v>1.039010390867185E-4</v>
      </c>
      <c r="G14" s="73">
        <f>F14/E14</f>
        <v>1.0505824850165276E-4</v>
      </c>
      <c r="H14" s="73">
        <f>G14*((16*15) /2)</f>
        <v>1.2606989820198332E-2</v>
      </c>
      <c r="I14" s="83">
        <f t="shared" si="1"/>
        <v>1.0622834646555423E-4</v>
      </c>
      <c r="J14" s="84">
        <f t="shared" si="2"/>
        <v>1.0741147652607498E-4</v>
      </c>
      <c r="K14" s="84">
        <f t="shared" si="7"/>
        <v>9.7744443638728227E-3</v>
      </c>
      <c r="L14" s="85">
        <f t="shared" si="3"/>
        <v>1.1104051885258135E-4</v>
      </c>
      <c r="M14" s="85">
        <f t="shared" si="4"/>
        <v>1.1227724501995053E-4</v>
      </c>
      <c r="N14" s="12">
        <f t="shared" si="8"/>
        <v>5.0524760258977737E-3</v>
      </c>
    </row>
    <row r="15" spans="1:16" s="97" customFormat="1">
      <c r="A15" s="97">
        <v>-24</v>
      </c>
      <c r="B15" s="97">
        <f t="shared" si="5"/>
        <v>0.97599999999999998</v>
      </c>
      <c r="C15" s="97">
        <f t="shared" si="0"/>
        <v>1.1092151929664017E-2</v>
      </c>
      <c r="D15" s="97">
        <f t="shared" ref="D15:D20" si="12">C15/(1+C15)</f>
        <v>1.0970465855653913E-2</v>
      </c>
      <c r="E15" s="97">
        <f t="shared" si="6"/>
        <v>0.98902953414434613</v>
      </c>
      <c r="F15" s="99">
        <f t="shared" si="10"/>
        <v>1.0312875818795935E-4</v>
      </c>
      <c r="G15" s="99">
        <f t="shared" si="11"/>
        <v>1.0427267804209778E-4</v>
      </c>
      <c r="H15" s="99">
        <f t="shared" si="9"/>
        <v>1.2512721365051733E-2</v>
      </c>
      <c r="I15" s="100">
        <f t="shared" si="1"/>
        <v>1.0542928642905365E-4</v>
      </c>
      <c r="J15" s="100">
        <f t="shared" si="2"/>
        <v>1.0659872409196077E-4</v>
      </c>
      <c r="K15" s="100">
        <f t="shared" si="7"/>
        <v>9.7004838923684302E-3</v>
      </c>
      <c r="L15" s="101">
        <f t="shared" si="3"/>
        <v>1.1018544368898143E-4</v>
      </c>
      <c r="M15" s="101">
        <f t="shared" si="4"/>
        <v>1.1140763737081705E-4</v>
      </c>
      <c r="N15" s="101">
        <f t="shared" si="8"/>
        <v>5.0133436816867678E-3</v>
      </c>
    </row>
    <row r="16" spans="1:16">
      <c r="A16" s="72">
        <v>-25</v>
      </c>
      <c r="B16" s="72">
        <f>(A16/1000)+1</f>
        <v>0.97499999999999998</v>
      </c>
      <c r="C16" s="72">
        <f t="shared" si="0"/>
        <v>1.1080787019900019E-2</v>
      </c>
      <c r="D16" s="72">
        <f t="shared" si="12"/>
        <v>1.0959348809861151E-2</v>
      </c>
      <c r="E16" s="72">
        <f t="shared" si="6"/>
        <v>0.98904065119013884</v>
      </c>
      <c r="F16" s="73">
        <f t="shared" si="10"/>
        <v>1.0293604786789571E-4</v>
      </c>
      <c r="G16" s="73">
        <f t="shared" si="11"/>
        <v>1.0407666029099009E-4</v>
      </c>
      <c r="H16" s="73">
        <f t="shared" si="9"/>
        <v>1.2489199234918811E-2</v>
      </c>
      <c r="I16" s="83">
        <f t="shared" si="1"/>
        <v>1.0522991159741706E-4</v>
      </c>
      <c r="J16" s="84">
        <f t="shared" si="2"/>
        <v>1.0639594183595095E-4</v>
      </c>
      <c r="K16" s="84">
        <f t="shared" si="7"/>
        <v>9.6820307070715362E-3</v>
      </c>
      <c r="L16" s="85">
        <f t="shared" si="3"/>
        <v>1.0997213001306254E-4</v>
      </c>
      <c r="M16" s="85">
        <f t="shared" si="4"/>
        <v>1.1119070776386204E-4</v>
      </c>
      <c r="N16" s="12">
        <f t="shared" si="8"/>
        <v>5.0035818493737918E-3</v>
      </c>
    </row>
    <row r="17" spans="1:14" s="97" customFormat="1">
      <c r="A17" s="99">
        <v>-25.2</v>
      </c>
      <c r="B17" s="99">
        <f>(A17/1000)+1</f>
        <v>0.9748</v>
      </c>
      <c r="C17" s="99">
        <f t="shared" si="0"/>
        <v>1.1078514037947218E-2</v>
      </c>
      <c r="D17" s="99">
        <f t="shared" si="12"/>
        <v>1.0957125370712235E-2</v>
      </c>
      <c r="E17" s="99">
        <f t="shared" si="6"/>
        <v>0.98904287462928775</v>
      </c>
      <c r="F17" s="99">
        <f t="shared" si="10"/>
        <v>1.0289752309921804E-4</v>
      </c>
      <c r="G17" s="99">
        <f t="shared" si="11"/>
        <v>1.0403747475334272E-4</v>
      </c>
      <c r="H17" s="99">
        <f t="shared" si="9"/>
        <v>1.2484496970401127E-2</v>
      </c>
      <c r="I17" s="100">
        <f t="shared" si="1"/>
        <v>1.051900553778702E-4</v>
      </c>
      <c r="J17" s="100">
        <f t="shared" si="2"/>
        <v>1.0635540488302639E-4</v>
      </c>
      <c r="K17" s="100">
        <f t="shared" si="7"/>
        <v>9.6783418443554016E-3</v>
      </c>
      <c r="L17" s="101">
        <f t="shared" si="3"/>
        <v>1.0992948913770728E-4</v>
      </c>
      <c r="M17" s="101">
        <f t="shared" si="4"/>
        <v>1.1114734452630374E-4</v>
      </c>
      <c r="N17" s="101">
        <f t="shared" si="8"/>
        <v>5.0016305036836685E-3</v>
      </c>
    </row>
    <row r="18" spans="1:14">
      <c r="A18" s="72">
        <v>-30</v>
      </c>
      <c r="B18" s="72">
        <f t="shared" si="5"/>
        <v>0.97</v>
      </c>
      <c r="C18" s="72">
        <f t="shared" si="0"/>
        <v>1.1023962471080019E-2</v>
      </c>
      <c r="D18" s="72">
        <f t="shared" si="12"/>
        <v>1.0903759831899489E-2</v>
      </c>
      <c r="E18" s="72">
        <f t="shared" si="6"/>
        <v>0.98909624016810049</v>
      </c>
      <c r="F18" s="73">
        <f t="shared" si="10"/>
        <v>1.0197466048441824E-4</v>
      </c>
      <c r="G18" s="73">
        <f t="shared" si="11"/>
        <v>1.0309882531459959E-4</v>
      </c>
      <c r="H18" s="73">
        <f t="shared" si="9"/>
        <v>1.237185903775195E-2</v>
      </c>
      <c r="I18" s="83">
        <f t="shared" si="1"/>
        <v>1.0423538289568019E-4</v>
      </c>
      <c r="J18" s="84">
        <f t="shared" si="2"/>
        <v>1.0538446984488082E-4</v>
      </c>
      <c r="K18" s="84">
        <f t="shared" si="7"/>
        <v>9.5899867558841556E-3</v>
      </c>
      <c r="L18" s="85">
        <f t="shared" si="3"/>
        <v>1.0890829576415778E-4</v>
      </c>
      <c r="M18" s="85">
        <f t="shared" si="4"/>
        <v>1.1010889672945113E-4</v>
      </c>
      <c r="N18" s="12">
        <f t="shared" si="8"/>
        <v>4.954900352825301E-3</v>
      </c>
    </row>
    <row r="19" spans="1:14">
      <c r="A19" s="73">
        <v>-3.92</v>
      </c>
      <c r="B19" s="73">
        <f t="shared" si="5"/>
        <v>0.99607999999999997</v>
      </c>
      <c r="C19" s="73">
        <f t="shared" si="0"/>
        <v>1.1320359317725138E-2</v>
      </c>
      <c r="D19" s="73">
        <f t="shared" si="12"/>
        <v>1.1193643254015256E-2</v>
      </c>
      <c r="E19" s="73">
        <f t="shared" si="6"/>
        <v>0.98880635674598472</v>
      </c>
      <c r="F19" s="73">
        <f t="shared" si="10"/>
        <v>1.0702874159368294E-4</v>
      </c>
      <c r="G19" s="73">
        <f>F19/E19</f>
        <v>1.0824034540584739E-4</v>
      </c>
      <c r="H19" s="73">
        <f t="shared" si="9"/>
        <v>1.2988841448701686E-2</v>
      </c>
      <c r="I19" s="83">
        <f t="shared" si="1"/>
        <v>1.0946566500851625E-4</v>
      </c>
      <c r="J19" s="84">
        <f t="shared" si="2"/>
        <v>1.1070485566936639E-4</v>
      </c>
      <c r="K19" s="84">
        <f t="shared" si="7"/>
        <v>1.0074141865912342E-2</v>
      </c>
      <c r="L19" s="85">
        <f t="shared" si="3"/>
        <v>1.1450723316267221E-4</v>
      </c>
      <c r="M19" s="85">
        <f t="shared" si="4"/>
        <v>1.158034961865522E-4</v>
      </c>
      <c r="N19" s="12">
        <f t="shared" si="8"/>
        <v>5.2111573283948488E-3</v>
      </c>
    </row>
    <row r="20" spans="1:14">
      <c r="A20" s="73">
        <v>-11.81</v>
      </c>
      <c r="B20" s="73">
        <f t="shared" si="5"/>
        <v>0.98819000000000001</v>
      </c>
      <c r="C20" s="73">
        <f t="shared" si="0"/>
        <v>1.1230690179687178E-2</v>
      </c>
      <c r="D20" s="73">
        <f t="shared" si="12"/>
        <v>1.1105962555083823E-2</v>
      </c>
      <c r="E20" s="73">
        <f t="shared" si="6"/>
        <v>0.98889403744491622</v>
      </c>
      <c r="F20" s="73">
        <f t="shared" si="10"/>
        <v>1.0548944953911647E-4</v>
      </c>
      <c r="G20" s="73">
        <f t="shared" si="11"/>
        <v>1.0667416886411602E-4</v>
      </c>
      <c r="H20" s="73">
        <f t="shared" si="9"/>
        <v>1.2800900263693923E-2</v>
      </c>
      <c r="I20" s="83">
        <f t="shared" si="1"/>
        <v>1.0787219340480453E-4</v>
      </c>
      <c r="J20" s="84">
        <f t="shared" si="2"/>
        <v>1.0908367258793718E-4</v>
      </c>
      <c r="K20" s="84">
        <f t="shared" si="7"/>
        <v>9.9266142055022839E-3</v>
      </c>
      <c r="L20" s="85">
        <f t="shared" si="3"/>
        <v>1.12800357545329E-4</v>
      </c>
      <c r="M20" s="85">
        <f t="shared" si="4"/>
        <v>1.1406718341307853E-4</v>
      </c>
      <c r="N20" s="12">
        <f t="shared" si="8"/>
        <v>5.1330232535885334E-3</v>
      </c>
    </row>
    <row r="21" spans="1:14">
      <c r="A21" s="72"/>
      <c r="B21" s="72"/>
      <c r="C21" s="72"/>
      <c r="D21" s="72"/>
      <c r="E21" s="72"/>
      <c r="F21" s="72"/>
      <c r="G21" s="72"/>
      <c r="H21" s="72"/>
      <c r="J21" s="72"/>
      <c r="K21" s="72"/>
      <c r="L21" s="72"/>
      <c r="M21" s="72"/>
    </row>
    <row r="22" spans="1:14">
      <c r="A22" s="72"/>
      <c r="B22" s="72"/>
      <c r="C22" s="72"/>
      <c r="D22" s="72"/>
      <c r="E22" s="72"/>
      <c r="F22" s="72"/>
      <c r="G22" s="72"/>
      <c r="H22" s="72"/>
      <c r="J22" s="72"/>
      <c r="K22" s="72"/>
      <c r="L22" s="72"/>
      <c r="M22" s="72"/>
    </row>
    <row r="23" spans="1:14">
      <c r="A23" s="72"/>
      <c r="B23" s="72"/>
      <c r="C23" s="72"/>
      <c r="D23" s="72"/>
      <c r="E23" s="72"/>
      <c r="F23" s="72"/>
      <c r="G23" s="72"/>
      <c r="H23" s="72"/>
      <c r="J23" s="72"/>
      <c r="K23" s="72"/>
      <c r="L23" s="72"/>
      <c r="M23" s="72"/>
    </row>
    <row r="24" spans="1:14">
      <c r="A24" s="72"/>
      <c r="B24" s="72"/>
      <c r="C24" s="72"/>
      <c r="D24" s="72"/>
      <c r="E24" s="72"/>
      <c r="F24" s="72"/>
      <c r="G24" s="72"/>
      <c r="H24" s="72"/>
      <c r="J24" s="72"/>
      <c r="K24" s="72"/>
      <c r="L24" s="72"/>
      <c r="M24" s="72"/>
    </row>
    <row r="25" spans="1:14" ht="34">
      <c r="A25" s="76" t="s">
        <v>127</v>
      </c>
      <c r="B25" s="71" t="s">
        <v>128</v>
      </c>
      <c r="C25" s="89" t="s">
        <v>142</v>
      </c>
      <c r="D25" s="71" t="s">
        <v>129</v>
      </c>
      <c r="E25" s="75" t="s">
        <v>136</v>
      </c>
      <c r="F25" s="77" t="s">
        <v>134</v>
      </c>
      <c r="G25" s="71" t="s">
        <v>135</v>
      </c>
      <c r="H25" s="72"/>
      <c r="J25" s="72"/>
      <c r="K25" s="72"/>
      <c r="L25" s="72"/>
      <c r="M25" s="72"/>
    </row>
    <row r="26" spans="1:14" ht="34">
      <c r="A26" s="78" t="s">
        <v>149</v>
      </c>
      <c r="B26" s="97">
        <v>-23.8</v>
      </c>
      <c r="C26" s="97">
        <v>0.49</v>
      </c>
      <c r="D26" s="32">
        <f>'collated data - v2'!H102</f>
        <v>4.8707145340142711E-3</v>
      </c>
      <c r="E26" s="32">
        <f>'collated data - v2'!I102</f>
        <v>7.5739936257743596E-3</v>
      </c>
      <c r="F26" s="32">
        <f>N15-D26</f>
        <v>1.4262914767249665E-4</v>
      </c>
      <c r="G26" s="32">
        <f>F26+D26</f>
        <v>5.0133436816867678E-3</v>
      </c>
      <c r="H26" s="72"/>
      <c r="J26" s="72"/>
      <c r="K26" s="72"/>
      <c r="L26" s="72"/>
      <c r="M26" s="72"/>
    </row>
    <row r="27" spans="1:14" ht="34">
      <c r="A27" s="78" t="s">
        <v>150</v>
      </c>
      <c r="B27" s="97">
        <v>-24.4</v>
      </c>
      <c r="C27" s="97">
        <v>0.56000000000000005</v>
      </c>
      <c r="D27" s="32">
        <f>'collated data - v2'!Q102</f>
        <v>9.2811696658676099E-3</v>
      </c>
      <c r="E27" s="32">
        <f>'collated data - v2'!R102</f>
        <v>6.1320502433458816E-3</v>
      </c>
      <c r="F27" s="32">
        <f>K15-D27</f>
        <v>4.1931422650082033E-4</v>
      </c>
      <c r="G27" s="32">
        <f t="shared" ref="G27:G30" si="13">F27+D27</f>
        <v>9.7004838923684302E-3</v>
      </c>
      <c r="H27" s="72"/>
      <c r="J27" s="72"/>
      <c r="K27" s="72"/>
      <c r="L27" s="72"/>
      <c r="M27" s="72"/>
    </row>
    <row r="28" spans="1:14" ht="34">
      <c r="A28" s="78" t="s">
        <v>151</v>
      </c>
      <c r="B28" s="97">
        <v>-24.1</v>
      </c>
      <c r="C28" s="97">
        <v>0.46</v>
      </c>
      <c r="D28" s="72">
        <f>'collated data - v2'!Z102</f>
        <v>9.2986138770965315E-3</v>
      </c>
      <c r="E28" s="32">
        <f>'collated data - v2'!AA102</f>
        <v>6.4959872709452054E-3</v>
      </c>
      <c r="F28" s="32">
        <f>K15-D28</f>
        <v>4.0187001527189868E-4</v>
      </c>
      <c r="G28" s="32">
        <f t="shared" si="13"/>
        <v>9.7004838923684302E-3</v>
      </c>
      <c r="H28" s="72"/>
      <c r="J28" s="72"/>
      <c r="K28" s="72"/>
      <c r="L28" s="72"/>
      <c r="M28" s="72"/>
    </row>
    <row r="29" spans="1:14" ht="34">
      <c r="A29" s="79" t="s">
        <v>152</v>
      </c>
      <c r="B29" s="97">
        <v>-24.2</v>
      </c>
      <c r="C29" s="97">
        <v>0.42</v>
      </c>
      <c r="D29" s="72">
        <f>'collated data - v2'!AI102</f>
        <v>1.1678463610944361E-2</v>
      </c>
      <c r="E29" s="32">
        <f>'collated data - v2'!AJ102</f>
        <v>4.0038833102418224E-3</v>
      </c>
      <c r="F29" s="32">
        <f>H17-D29</f>
        <v>8.0603335945676584E-4</v>
      </c>
      <c r="G29" s="32">
        <f t="shared" si="13"/>
        <v>1.2484496970401127E-2</v>
      </c>
      <c r="H29" s="72"/>
      <c r="J29" s="72"/>
      <c r="K29" s="72"/>
      <c r="L29" s="72"/>
      <c r="M29" s="72"/>
    </row>
    <row r="30" spans="1:14" ht="34">
      <c r="A30" s="78" t="s">
        <v>153</v>
      </c>
      <c r="B30" s="97">
        <v>-25.2</v>
      </c>
      <c r="C30" s="97">
        <v>0.49</v>
      </c>
      <c r="D30" s="72">
        <f>'collated data - v2'!AR102</f>
        <v>1.174647807793002E-2</v>
      </c>
      <c r="E30" s="32">
        <f>'collated data - v2'!AS102</f>
        <v>3.6292740744984842E-3</v>
      </c>
      <c r="F30" s="32">
        <f>H17-D30</f>
        <v>7.3801889247110744E-4</v>
      </c>
      <c r="G30" s="32">
        <f t="shared" si="13"/>
        <v>1.2484496970401127E-2</v>
      </c>
      <c r="H30" s="72"/>
      <c r="J30" s="72"/>
      <c r="K30" s="72"/>
      <c r="L30" s="72"/>
      <c r="M30" s="72"/>
    </row>
    <row r="31" spans="1:14">
      <c r="A31" s="71"/>
      <c r="B31" s="98"/>
      <c r="J31" s="72"/>
      <c r="K31" s="72"/>
      <c r="L31" s="72"/>
      <c r="M31" s="72"/>
    </row>
    <row r="32" spans="1:14"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</row>
    <row r="33" spans="1:13" s="78" customFormat="1" ht="51">
      <c r="A33" s="92" t="s">
        <v>130</v>
      </c>
      <c r="B33" s="74" t="s">
        <v>145</v>
      </c>
      <c r="C33" s="89" t="s">
        <v>146</v>
      </c>
      <c r="D33" s="74" t="s">
        <v>147</v>
      </c>
      <c r="E33" s="89" t="s">
        <v>148</v>
      </c>
      <c r="F33" s="71" t="s">
        <v>129</v>
      </c>
      <c r="G33" s="75" t="s">
        <v>136</v>
      </c>
      <c r="H33" s="74" t="s">
        <v>135</v>
      </c>
      <c r="I33" s="74" t="s">
        <v>143</v>
      </c>
      <c r="J33" s="79"/>
      <c r="K33" s="79"/>
      <c r="L33" s="79"/>
      <c r="M33" s="79"/>
    </row>
    <row r="34" spans="1:13" s="78" customFormat="1" ht="17">
      <c r="A34" s="78" t="s">
        <v>137</v>
      </c>
      <c r="B34" s="79">
        <f>'collated data - v2'!H22</f>
        <v>-39.216306675088461</v>
      </c>
      <c r="C34" s="79">
        <f>'collated data - v2'!I22</f>
        <v>8.0008463184361229</v>
      </c>
      <c r="D34" s="78">
        <f>'collated data - v2'!H42</f>
        <v>-20.352243148830993</v>
      </c>
      <c r="E34" s="78">
        <f>'collated data - v2'!I42</f>
        <v>4.9045746326710198</v>
      </c>
      <c r="F34" s="79">
        <f>'collated data - v2'!H100</f>
        <v>5.1600791107032605E-3</v>
      </c>
      <c r="G34" s="79">
        <f>'collated data - v2'!I100</f>
        <v>1.3195901953134718E-2</v>
      </c>
      <c r="H34" s="79">
        <f>((F34+F26))</f>
        <v>5.3027082583757571E-3</v>
      </c>
      <c r="I34" s="79">
        <f>(H34-G26)*1000</f>
        <v>0.28936457668898941</v>
      </c>
      <c r="J34" s="79"/>
      <c r="K34" s="79"/>
      <c r="L34" s="79"/>
      <c r="M34" s="79"/>
    </row>
    <row r="35" spans="1:13" s="78" customFormat="1" ht="17">
      <c r="A35" s="78" t="s">
        <v>138</v>
      </c>
      <c r="B35" s="79">
        <f>'collated data - v2'!Q22</f>
        <v>-0.11257645158002649</v>
      </c>
      <c r="C35" s="79">
        <f>'collated data - v2'!R22</f>
        <v>5.1341941399899937</v>
      </c>
      <c r="D35" s="78">
        <f>'collated data - v2'!Q42</f>
        <v>-12.644453810510715</v>
      </c>
      <c r="E35" s="78">
        <f>'collated data - v2'!R42</f>
        <v>4.1910226162314439</v>
      </c>
      <c r="F35" s="79">
        <f>'collated data - v2'!Q100</f>
        <v>9.5281777498624678E-3</v>
      </c>
      <c r="G35" s="79">
        <f>'collated data - v2'!R100</f>
        <v>8.4376393264855645E-3</v>
      </c>
      <c r="H35" s="79">
        <f>F35+F27</f>
        <v>9.9474919763632881E-3</v>
      </c>
      <c r="I35" s="79">
        <f t="shared" ref="I35:I38" si="14">(H35-G27)*1000</f>
        <v>0.24700808399485791</v>
      </c>
      <c r="J35" s="79"/>
      <c r="K35" s="79"/>
      <c r="L35" s="79"/>
      <c r="M35" s="79"/>
    </row>
    <row r="36" spans="1:13" s="78" customFormat="1" ht="17">
      <c r="A36" s="78" t="s">
        <v>139</v>
      </c>
      <c r="B36" s="79">
        <f>'collated data - v2'!Z22</f>
        <v>-2.5596859117702486</v>
      </c>
      <c r="C36" s="79">
        <f>'collated data - v2'!AA22</f>
        <v>4.7588449033731104</v>
      </c>
      <c r="D36" s="78">
        <f>'collated data - v2'!Z42</f>
        <v>-16.713071237317468</v>
      </c>
      <c r="E36" s="78">
        <f>'collated data - v2'!AA42</f>
        <v>4.5140102784322647</v>
      </c>
      <c r="F36" s="79">
        <f>'collated data - v2'!Z100</f>
        <v>9.4010423943437695E-3</v>
      </c>
      <c r="G36" s="79">
        <f>'collated data - v2'!AA100</f>
        <v>1.1238815348225002E-2</v>
      </c>
      <c r="H36" s="79">
        <f>F36+F28</f>
        <v>9.8029124096156682E-3</v>
      </c>
      <c r="I36" s="79">
        <f t="shared" si="14"/>
        <v>0.10242851724723799</v>
      </c>
      <c r="J36" s="79"/>
      <c r="K36" s="79"/>
      <c r="L36" s="79"/>
      <c r="M36" s="79"/>
    </row>
    <row r="37" spans="1:13">
      <c r="A37" s="72" t="s">
        <v>141</v>
      </c>
      <c r="B37" s="72">
        <f>'collated data - v2'!AI22</f>
        <v>-17.832801774581462</v>
      </c>
      <c r="C37" s="72">
        <f>'collated data - v2'!AJ22</f>
        <v>3.1424566702089236</v>
      </c>
      <c r="D37" s="32">
        <f>'collated data - v2'!AI42</f>
        <v>-17.106026968804812</v>
      </c>
      <c r="E37" s="32">
        <f>'collated data - v2'!AJ42</f>
        <v>2.5416762408600606</v>
      </c>
      <c r="F37" s="72">
        <f>'collated data - v2'!AI100</f>
        <v>1.2044989478698307E-2</v>
      </c>
      <c r="G37" s="72">
        <f>'collated data - v2'!AJ100</f>
        <v>7.1025496042129216E-3</v>
      </c>
      <c r="H37" s="72">
        <f>F37+F29</f>
        <v>1.2851022838155073E-2</v>
      </c>
      <c r="I37" s="79">
        <f t="shared" si="14"/>
        <v>0.3665258677539463</v>
      </c>
      <c r="J37" s="72"/>
      <c r="K37" s="72"/>
      <c r="L37" s="72"/>
      <c r="M37" s="72"/>
    </row>
    <row r="38" spans="1:13">
      <c r="A38" s="32" t="s">
        <v>140</v>
      </c>
      <c r="B38" s="72">
        <f>'collated data - v2'!AR22</f>
        <v>-32.246496689373181</v>
      </c>
      <c r="C38" s="72">
        <f>'collated data - v2'!AS22</f>
        <v>2.8741654051067829</v>
      </c>
      <c r="D38" s="32">
        <f>'collated data - v2'!AR42</f>
        <v>-23.633026104479924</v>
      </c>
      <c r="E38" s="32">
        <f>'collated data - v2'!AS42</f>
        <v>2.1149845144850712</v>
      </c>
      <c r="F38" s="72">
        <f>'collated data - v2'!AR100</f>
        <v>1.2047156775230166E-2</v>
      </c>
      <c r="G38" s="72">
        <f>'collated data - v2'!AS100</f>
        <v>5.7429831443217994E-3</v>
      </c>
      <c r="H38" s="72">
        <f>F38+F30</f>
        <v>1.2785175667701274E-2</v>
      </c>
      <c r="I38" s="79">
        <f t="shared" si="14"/>
        <v>0.30067869730014685</v>
      </c>
      <c r="J38" s="72"/>
      <c r="K38" s="72"/>
      <c r="L38" s="72"/>
      <c r="M38" s="72"/>
    </row>
    <row r="39" spans="1:13">
      <c r="A39" s="72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</row>
    <row r="40" spans="1:13">
      <c r="A40" s="72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</row>
    <row r="41" spans="1:13">
      <c r="A41" s="72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</row>
    <row r="42" spans="1:13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</row>
    <row r="43" spans="1:13">
      <c r="A43" s="72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</row>
    <row r="44" spans="1:13">
      <c r="A44" s="72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</row>
    <row r="45" spans="1:13">
      <c r="A45" s="72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</row>
    <row r="46" spans="1:13"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</row>
    <row r="47" spans="1:13">
      <c r="B47" s="72"/>
      <c r="C47" s="72"/>
      <c r="D47" s="71"/>
      <c r="E47" s="72"/>
      <c r="F47" s="72"/>
      <c r="G47" s="72"/>
      <c r="H47" s="72"/>
      <c r="I47" s="72"/>
      <c r="J47" s="72"/>
      <c r="K47" s="72"/>
      <c r="L47" s="72"/>
      <c r="M47" s="72"/>
    </row>
    <row r="48" spans="1:13"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</row>
    <row r="49" spans="2:13"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</row>
    <row r="50" spans="2:13"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</row>
    <row r="51" spans="2:13"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</row>
    <row r="52" spans="2:13"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</row>
    <row r="53" spans="2:13"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76966-7CFE-6245-A099-5706F1DA1073}">
  <dimension ref="A1:DY135"/>
  <sheetViews>
    <sheetView tabSelected="1" topLeftCell="A96" zoomScaleNormal="100" workbookViewId="0">
      <pane xSplit="2" topLeftCell="C1" activePane="topRight" state="frozen"/>
      <selection pane="topRight" activeCell="G133" sqref="G133"/>
    </sheetView>
  </sheetViews>
  <sheetFormatPr baseColWidth="10" defaultRowHeight="16"/>
  <cols>
    <col min="2" max="2" width="41" customWidth="1"/>
    <col min="3" max="4" width="12.33203125" customWidth="1"/>
    <col min="6" max="6" width="14.6640625" customWidth="1"/>
    <col min="7" max="7" width="21.83203125" style="24" customWidth="1"/>
    <col min="8" max="9" width="12.5" bestFit="1" customWidth="1"/>
    <col min="10" max="13" width="13" customWidth="1"/>
    <col min="14" max="15" width="14.5" customWidth="1"/>
    <col min="16" max="16" width="14.6640625" customWidth="1"/>
    <col min="17" max="17" width="15.1640625" customWidth="1"/>
    <col min="18" max="18" width="22" style="24" customWidth="1"/>
    <col min="21" max="23" width="13" customWidth="1"/>
    <col min="25" max="26" width="12" customWidth="1"/>
    <col min="27" max="27" width="11.83203125" customWidth="1"/>
    <col min="28" max="28" width="18.5" customWidth="1"/>
    <col min="29" max="29" width="21" style="24" customWidth="1"/>
    <col min="32" max="32" width="12.5" bestFit="1" customWidth="1"/>
    <col min="36" max="37" width="13.5" customWidth="1"/>
    <col min="39" max="39" width="16" customWidth="1"/>
    <col min="40" max="40" width="21.1640625" style="24" customWidth="1"/>
    <col min="43" max="43" width="12.1640625" bestFit="1" customWidth="1"/>
    <col min="47" max="48" width="13.83203125" customWidth="1"/>
    <col min="49" max="49" width="16.6640625" customWidth="1"/>
    <col min="50" max="50" width="15.33203125" customWidth="1"/>
    <col min="51" max="51" width="21.83203125" style="24" customWidth="1"/>
    <col min="54" max="54" width="12.5" bestFit="1" customWidth="1"/>
  </cols>
  <sheetData>
    <row r="1" spans="1:129" s="13" customFormat="1" ht="29">
      <c r="A1" s="14" t="s">
        <v>46</v>
      </c>
      <c r="B1" s="102" t="s">
        <v>144</v>
      </c>
      <c r="D1" s="13" t="s">
        <v>41</v>
      </c>
      <c r="F1" s="102">
        <f>'2x13C plots - v1'!B26</f>
        <v>-23.8</v>
      </c>
      <c r="G1" s="103">
        <f>'2x13C plots - v1'!C26</f>
        <v>0.49</v>
      </c>
      <c r="O1" s="13" t="s">
        <v>42</v>
      </c>
      <c r="Q1" s="103">
        <f>'2x13C plots - v1'!B27</f>
        <v>-24.4</v>
      </c>
      <c r="R1" s="102">
        <f>'2x13C plots - v1'!C27</f>
        <v>0.56000000000000005</v>
      </c>
      <c r="AA1" s="13" t="s">
        <v>43</v>
      </c>
      <c r="AC1" s="103">
        <f>'2x13C plots - v1'!B28</f>
        <v>-24.1</v>
      </c>
      <c r="AD1" s="102">
        <f>'2x13C plots - v1'!C28</f>
        <v>0.46</v>
      </c>
      <c r="AL1" s="13" t="s">
        <v>44</v>
      </c>
      <c r="AN1" s="103">
        <f>'2x13C plots - v1'!B29</f>
        <v>-24.2</v>
      </c>
      <c r="AO1" s="102">
        <f>'2x13C plots - v1'!C29</f>
        <v>0.42</v>
      </c>
      <c r="AW1" s="13" t="s">
        <v>45</v>
      </c>
      <c r="AX1" s="102">
        <f>'2x13C plots - v1'!B30</f>
        <v>-25.2</v>
      </c>
      <c r="AY1" s="103">
        <f>'2x13C plots - v1'!C30</f>
        <v>0.49</v>
      </c>
    </row>
    <row r="2" spans="1:129" s="262" customFormat="1" ht="29">
      <c r="A2" s="261"/>
      <c r="B2" s="113" t="s">
        <v>164</v>
      </c>
      <c r="F2" s="263">
        <f>'dD values from WY'!E63</f>
        <v>-70.38945075046</v>
      </c>
      <c r="G2" s="263">
        <f>'dD values from WY'!F63</f>
        <v>11.70174214519793</v>
      </c>
      <c r="Q2" s="264">
        <v>-100</v>
      </c>
      <c r="R2" s="265">
        <v>0.1</v>
      </c>
      <c r="S2" s="266" t="s">
        <v>267</v>
      </c>
      <c r="AC2" s="263">
        <f>'dD values from WY'!E67</f>
        <v>-104.28011652802998</v>
      </c>
      <c r="AD2" s="263">
        <f>'dD values from WY'!F67</f>
        <v>0.7415633761601641</v>
      </c>
      <c r="AN2" s="263">
        <f>'dD values from WY'!E70</f>
        <v>-107.34824447471999</v>
      </c>
      <c r="AO2" s="263">
        <f>'dD values from WY'!F70</f>
        <v>1.0473958561986334</v>
      </c>
      <c r="AX2" s="263">
        <f>'dD values from WY'!E73</f>
        <v>-72.466597202320017</v>
      </c>
      <c r="AY2" s="263">
        <f>'dD values from WY'!F73</f>
        <v>0.99248431724382868</v>
      </c>
    </row>
    <row r="3" spans="1:129" ht="18" customHeight="1">
      <c r="A3" s="15" t="s">
        <v>18</v>
      </c>
      <c r="B3" s="1" t="s">
        <v>5</v>
      </c>
      <c r="C3" s="2" t="s">
        <v>9</v>
      </c>
      <c r="D3" s="2" t="s">
        <v>27</v>
      </c>
      <c r="E3" s="2" t="s">
        <v>10</v>
      </c>
      <c r="F3" s="2" t="s">
        <v>49</v>
      </c>
      <c r="G3" s="25" t="s">
        <v>51</v>
      </c>
      <c r="H3" s="2" t="s">
        <v>11</v>
      </c>
      <c r="I3" s="2" t="s">
        <v>48</v>
      </c>
      <c r="J3" s="2" t="s">
        <v>161</v>
      </c>
      <c r="K3" s="2"/>
      <c r="L3" s="2"/>
      <c r="M3" s="2"/>
      <c r="N3" s="2" t="s">
        <v>9</v>
      </c>
      <c r="O3" s="2" t="s">
        <v>27</v>
      </c>
      <c r="P3" s="2" t="s">
        <v>10</v>
      </c>
      <c r="Q3" s="2" t="s">
        <v>49</v>
      </c>
      <c r="R3" s="25" t="s">
        <v>51</v>
      </c>
      <c r="S3" s="2" t="s">
        <v>11</v>
      </c>
      <c r="T3" s="2" t="s">
        <v>12</v>
      </c>
      <c r="U3" s="2" t="s">
        <v>161</v>
      </c>
      <c r="V3" s="2"/>
      <c r="W3" s="2"/>
      <c r="X3" s="2"/>
      <c r="Y3" s="2" t="s">
        <v>9</v>
      </c>
      <c r="Z3" s="2" t="s">
        <v>27</v>
      </c>
      <c r="AA3" s="2" t="s">
        <v>10</v>
      </c>
      <c r="AB3" s="2" t="s">
        <v>49</v>
      </c>
      <c r="AC3" s="25" t="s">
        <v>51</v>
      </c>
      <c r="AD3" s="2" t="s">
        <v>11</v>
      </c>
      <c r="AE3" s="2" t="s">
        <v>12</v>
      </c>
      <c r="AF3" s="2" t="s">
        <v>161</v>
      </c>
      <c r="AG3" s="2"/>
      <c r="AH3" s="2"/>
      <c r="AI3" s="2"/>
      <c r="AJ3" s="2" t="s">
        <v>9</v>
      </c>
      <c r="AK3" s="2" t="s">
        <v>27</v>
      </c>
      <c r="AL3" s="2" t="s">
        <v>10</v>
      </c>
      <c r="AM3" s="2" t="s">
        <v>49</v>
      </c>
      <c r="AN3" s="25" t="s">
        <v>51</v>
      </c>
      <c r="AO3" s="2" t="s">
        <v>11</v>
      </c>
      <c r="AP3" s="2" t="s">
        <v>12</v>
      </c>
      <c r="AQ3" s="2" t="s">
        <v>161</v>
      </c>
      <c r="AR3" s="2"/>
      <c r="AS3" s="2"/>
      <c r="AT3" s="2"/>
      <c r="AU3" s="2" t="s">
        <v>9</v>
      </c>
      <c r="AV3" s="2" t="s">
        <v>27</v>
      </c>
      <c r="AW3" s="2" t="s">
        <v>10</v>
      </c>
      <c r="AX3" s="2" t="s">
        <v>49</v>
      </c>
      <c r="AY3" s="25" t="s">
        <v>51</v>
      </c>
      <c r="AZ3" s="2" t="s">
        <v>11</v>
      </c>
      <c r="BA3" s="2" t="s">
        <v>12</v>
      </c>
      <c r="BB3" s="2" t="s">
        <v>161</v>
      </c>
    </row>
    <row r="4" spans="1:129" ht="31">
      <c r="A4" s="33" t="s">
        <v>50</v>
      </c>
    </row>
    <row r="5" spans="1:129">
      <c r="A5" s="8" t="s">
        <v>19</v>
      </c>
      <c r="B5" s="1"/>
      <c r="C5" s="2"/>
      <c r="D5" s="2"/>
      <c r="E5" s="2"/>
      <c r="F5" s="2"/>
      <c r="G5" s="25"/>
      <c r="H5" s="2"/>
      <c r="I5" s="2"/>
      <c r="J5" s="2"/>
      <c r="K5" s="2"/>
      <c r="L5" s="2"/>
      <c r="M5" s="2"/>
      <c r="N5" s="2"/>
      <c r="O5" s="2"/>
      <c r="P5" s="2"/>
      <c r="Q5" s="2"/>
      <c r="R5" s="25"/>
      <c r="S5" s="2"/>
      <c r="T5" s="2"/>
      <c r="U5" s="2"/>
      <c r="V5" s="2"/>
      <c r="W5" s="2"/>
      <c r="X5" s="2"/>
      <c r="Y5" s="2"/>
      <c r="Z5" s="2"/>
      <c r="AA5" s="2"/>
      <c r="AB5" s="2"/>
      <c r="AC5" s="25"/>
      <c r="AD5" s="2"/>
      <c r="AE5" s="2"/>
      <c r="AF5" s="2"/>
      <c r="AG5" s="2"/>
      <c r="AH5" s="2"/>
      <c r="AI5" s="2"/>
      <c r="AJ5" s="2"/>
      <c r="AK5" s="2"/>
      <c r="AL5" s="2"/>
      <c r="AM5" s="2"/>
      <c r="AN5" s="25"/>
      <c r="AO5" s="2"/>
      <c r="AP5" s="2"/>
      <c r="AQ5" s="2"/>
      <c r="AR5" s="2"/>
      <c r="AS5" s="2"/>
      <c r="AT5" s="2"/>
      <c r="AU5" s="2"/>
      <c r="AW5" s="2"/>
      <c r="AX5" s="2"/>
      <c r="AY5" s="25"/>
      <c r="AZ5" s="2"/>
      <c r="BA5" s="2"/>
    </row>
    <row r="6" spans="1:129" s="5" customFormat="1">
      <c r="A6" s="16" t="s">
        <v>25</v>
      </c>
      <c r="B6" s="10"/>
      <c r="C6" s="11"/>
      <c r="D6" s="11"/>
      <c r="E6" s="11"/>
      <c r="F6" s="11"/>
      <c r="G6" s="26"/>
      <c r="H6" s="11"/>
      <c r="I6" s="11"/>
      <c r="J6" s="11"/>
      <c r="K6" s="2"/>
      <c r="L6" s="2"/>
      <c r="M6" s="2"/>
      <c r="N6" s="11"/>
      <c r="O6" s="11"/>
      <c r="P6" s="11"/>
      <c r="Q6" s="11"/>
      <c r="R6" s="26"/>
      <c r="S6" s="11"/>
      <c r="T6" s="11"/>
      <c r="U6" s="11"/>
      <c r="V6" s="2"/>
      <c r="W6" s="2"/>
      <c r="X6" s="2"/>
      <c r="Y6" s="11"/>
      <c r="Z6" s="11"/>
      <c r="AA6" s="11"/>
      <c r="AB6" s="11"/>
      <c r="AC6" s="26"/>
      <c r="AD6" s="11"/>
      <c r="AE6" s="11"/>
      <c r="AF6" s="11"/>
      <c r="AG6" s="2"/>
      <c r="AH6" s="2"/>
      <c r="AI6" s="2"/>
      <c r="AJ6" s="11"/>
      <c r="AK6" s="11"/>
      <c r="AL6" s="11"/>
      <c r="AM6" s="11"/>
      <c r="AN6" s="26"/>
      <c r="AO6" s="11"/>
      <c r="AP6" s="11"/>
      <c r="AQ6" s="11"/>
      <c r="AR6" s="2"/>
      <c r="AS6" s="2"/>
      <c r="AT6" s="2"/>
      <c r="AU6" s="11"/>
      <c r="AV6" s="11"/>
      <c r="AW6" s="11"/>
      <c r="AX6" s="11"/>
      <c r="AY6" s="26"/>
      <c r="AZ6" s="11"/>
      <c r="BA6" s="11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</row>
    <row r="7" spans="1:129" s="5" customFormat="1">
      <c r="A7" s="17">
        <v>44666</v>
      </c>
      <c r="B7" s="5" t="s">
        <v>1</v>
      </c>
      <c r="C7" s="5" t="s">
        <v>13</v>
      </c>
      <c r="D7" s="5" t="s">
        <v>31</v>
      </c>
      <c r="E7" s="5" t="s">
        <v>21</v>
      </c>
      <c r="F7" s="22">
        <v>68500000</v>
      </c>
      <c r="G7" s="27">
        <v>5</v>
      </c>
      <c r="H7" s="21">
        <v>0.103836708585115</v>
      </c>
      <c r="I7" s="21">
        <v>8.1935377790861592E-3</v>
      </c>
      <c r="J7">
        <f>H7*I7</f>
        <v>8.507899946480999E-4</v>
      </c>
      <c r="K7"/>
      <c r="L7"/>
      <c r="M7"/>
      <c r="N7" s="5" t="s">
        <v>14</v>
      </c>
      <c r="O7" s="5" t="s">
        <v>32</v>
      </c>
      <c r="P7" s="5" t="s">
        <v>21</v>
      </c>
      <c r="Q7" s="22">
        <v>22300000</v>
      </c>
      <c r="R7" s="27">
        <v>5</v>
      </c>
      <c r="S7" s="21">
        <v>0.14707698944825701</v>
      </c>
      <c r="T7" s="21">
        <v>4.8246252631634502E-3</v>
      </c>
      <c r="U7" s="21">
        <f>S7*T7</f>
        <v>7.0959135892208495E-4</v>
      </c>
      <c r="V7" s="21"/>
      <c r="W7" s="21"/>
      <c r="X7" s="21"/>
      <c r="Y7" s="5" t="s">
        <v>15</v>
      </c>
      <c r="Z7" s="5" t="s">
        <v>33</v>
      </c>
      <c r="AA7" s="5" t="s">
        <v>21</v>
      </c>
      <c r="AB7" s="22">
        <v>12300000</v>
      </c>
      <c r="AC7" s="27">
        <v>5</v>
      </c>
      <c r="AD7" s="21">
        <v>0.14862168264523501</v>
      </c>
      <c r="AE7" s="21">
        <v>2.5332042723719499E-3</v>
      </c>
      <c r="AF7" s="21">
        <f>AD7*AE7</f>
        <v>3.7648908144401742E-4</v>
      </c>
      <c r="AG7" s="21"/>
      <c r="AH7" s="21"/>
      <c r="AI7" s="21"/>
      <c r="AJ7" s="5" t="s">
        <v>16</v>
      </c>
      <c r="AK7" s="5" t="s">
        <v>34</v>
      </c>
      <c r="AL7" s="5" t="s">
        <v>21</v>
      </c>
      <c r="AM7" s="22">
        <v>23200000</v>
      </c>
      <c r="AN7" s="27">
        <v>5</v>
      </c>
      <c r="AO7" s="21">
        <v>0.169721121455473</v>
      </c>
      <c r="AP7" s="21">
        <v>3.2563646715680402E-3</v>
      </c>
      <c r="AQ7" s="21">
        <f>AO7*AP7</f>
        <v>5.5267386392651079E-4</v>
      </c>
      <c r="AR7" s="21"/>
      <c r="AS7" s="21"/>
      <c r="AT7" s="21"/>
      <c r="AU7" s="5" t="s">
        <v>17</v>
      </c>
      <c r="AV7" s="5" t="s">
        <v>35</v>
      </c>
      <c r="AW7" s="5" t="s">
        <v>21</v>
      </c>
      <c r="AX7" s="22">
        <v>14400000</v>
      </c>
      <c r="AY7" s="27">
        <v>5</v>
      </c>
      <c r="AZ7" s="21">
        <v>0.168791089551205</v>
      </c>
      <c r="BA7" s="21">
        <v>3.2158620263753302E-3</v>
      </c>
      <c r="BB7">
        <f>AZ7*BA7</f>
        <v>5.4280885527823797E-4</v>
      </c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</row>
    <row r="8" spans="1:129" s="5" customFormat="1">
      <c r="A8" s="17">
        <v>44666</v>
      </c>
      <c r="B8" s="10" t="s">
        <v>0</v>
      </c>
      <c r="C8" s="5" t="s">
        <v>13</v>
      </c>
      <c r="D8" s="5" t="s">
        <v>31</v>
      </c>
      <c r="E8" s="5" t="s">
        <v>21</v>
      </c>
      <c r="F8" s="22">
        <v>911000</v>
      </c>
      <c r="G8" s="27">
        <f>(F8/F7)*G7</f>
        <v>6.64963503649635E-2</v>
      </c>
      <c r="H8" s="21">
        <v>0.103394888360028</v>
      </c>
      <c r="I8" s="21">
        <v>2.6890711243570301E-2</v>
      </c>
      <c r="J8">
        <f t="shared" ref="J8:J17" si="0">H8*I8</f>
        <v>2.7803620869507007E-3</v>
      </c>
      <c r="K8"/>
      <c r="L8"/>
      <c r="M8"/>
      <c r="N8" s="5" t="s">
        <v>14</v>
      </c>
      <c r="O8" s="5" t="s">
        <v>32</v>
      </c>
      <c r="P8" s="5" t="s">
        <v>21</v>
      </c>
      <c r="Q8" s="22">
        <v>295000</v>
      </c>
      <c r="R8" s="27">
        <f>(Q8/Q7)*R7</f>
        <v>6.614349775784753E-2</v>
      </c>
      <c r="S8" s="21">
        <v>0.14773930610869099</v>
      </c>
      <c r="T8" s="21">
        <v>2.0993885481073098E-2</v>
      </c>
      <c r="U8" s="21">
        <f t="shared" ref="U8:U17" si="1">S8*T8</f>
        <v>3.1016220734990619E-3</v>
      </c>
      <c r="V8" s="21"/>
      <c r="W8" s="21"/>
      <c r="X8" s="21"/>
      <c r="Y8" s="5" t="s">
        <v>15</v>
      </c>
      <c r="Z8" s="5" t="s">
        <v>33</v>
      </c>
      <c r="AA8" s="5" t="s">
        <v>21</v>
      </c>
      <c r="AB8" s="22">
        <v>105000</v>
      </c>
      <c r="AC8" s="29">
        <f>(AB8/AB7)*AC7</f>
        <v>4.2682926829268296E-2</v>
      </c>
      <c r="AD8" s="21">
        <v>0.14758736048785601</v>
      </c>
      <c r="AE8" s="21">
        <v>1.2942692827083E-2</v>
      </c>
      <c r="AF8" s="21">
        <f t="shared" ref="AF8:AF12" si="2">AD8*AE8</f>
        <v>1.9101778719542869E-3</v>
      </c>
      <c r="AG8" s="21"/>
      <c r="AH8" s="21"/>
      <c r="AI8" s="21"/>
      <c r="AJ8" s="5" t="s">
        <v>16</v>
      </c>
      <c r="AK8" s="5" t="s">
        <v>34</v>
      </c>
      <c r="AL8" s="5" t="s">
        <v>21</v>
      </c>
      <c r="AM8" s="22">
        <v>789000</v>
      </c>
      <c r="AN8" s="27">
        <f>AM8/AM7*AN7</f>
        <v>0.17004310344827583</v>
      </c>
      <c r="AO8" s="21">
        <v>0.16676065963437001</v>
      </c>
      <c r="AP8" s="21">
        <v>8.6176138885090507E-3</v>
      </c>
      <c r="AQ8" s="21">
        <f t="shared" ref="AQ8:AQ12" si="3">AO8*AP8</f>
        <v>1.4370789765220777E-3</v>
      </c>
      <c r="AR8" s="21"/>
      <c r="AS8" s="21"/>
      <c r="AT8" s="21"/>
      <c r="AU8" s="5" t="s">
        <v>17</v>
      </c>
      <c r="AV8" s="5" t="s">
        <v>35</v>
      </c>
      <c r="AW8" s="5" t="s">
        <v>21</v>
      </c>
      <c r="AX8" s="22">
        <v>2620000</v>
      </c>
      <c r="AY8" s="27">
        <f>AX8/AX7*AY7</f>
        <v>0.90972222222222221</v>
      </c>
      <c r="AZ8" s="21">
        <v>0.16834376843242599</v>
      </c>
      <c r="BA8" s="21">
        <v>5.2920064727952701E-3</v>
      </c>
      <c r="BB8">
        <f>AZ8*BA8</f>
        <v>8.9087631219914639E-4</v>
      </c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</row>
    <row r="9" spans="1:129" s="5" customFormat="1">
      <c r="A9" s="17">
        <v>44666</v>
      </c>
      <c r="B9" s="5" t="s">
        <v>2</v>
      </c>
      <c r="C9" s="5" t="s">
        <v>13</v>
      </c>
      <c r="D9" s="5" t="s">
        <v>31</v>
      </c>
      <c r="E9" s="5" t="s">
        <v>21</v>
      </c>
      <c r="F9" s="22">
        <v>5000000</v>
      </c>
      <c r="G9" s="27">
        <f>F9/F7*G7</f>
        <v>0.36496350364963503</v>
      </c>
      <c r="H9" s="21">
        <v>0.106699538641799</v>
      </c>
      <c r="I9" s="21">
        <v>1.0532842697260901E-2</v>
      </c>
      <c r="J9">
        <f t="shared" si="0"/>
        <v>1.1238494563843798E-3</v>
      </c>
      <c r="K9"/>
      <c r="L9"/>
      <c r="M9"/>
      <c r="N9" s="5" t="s">
        <v>14</v>
      </c>
      <c r="O9" s="5" t="s">
        <v>32</v>
      </c>
      <c r="P9" s="5" t="s">
        <v>21</v>
      </c>
      <c r="Q9" s="22">
        <v>1370000</v>
      </c>
      <c r="R9" s="27">
        <f>Q9/Q7*R7</f>
        <v>0.30717488789237668</v>
      </c>
      <c r="S9" s="21">
        <v>0.14552943848439001</v>
      </c>
      <c r="T9" s="21">
        <v>6.65571590071928E-3</v>
      </c>
      <c r="U9" s="21">
        <f t="shared" si="1"/>
        <v>9.6860259774330293E-4</v>
      </c>
      <c r="V9" s="21"/>
      <c r="W9" s="21"/>
      <c r="X9" s="21"/>
      <c r="Y9" s="5" t="s">
        <v>15</v>
      </c>
      <c r="Z9" s="5" t="s">
        <v>33</v>
      </c>
      <c r="AA9" s="5" t="s">
        <v>21</v>
      </c>
      <c r="AB9" s="22">
        <v>461000</v>
      </c>
      <c r="AC9" s="27">
        <f>AB9/AB7*AC7</f>
        <v>0.18739837398373985</v>
      </c>
      <c r="AD9" s="21">
        <v>0.14455069626341199</v>
      </c>
      <c r="AE9" s="21">
        <v>4.7377229794434003E-3</v>
      </c>
      <c r="AF9" s="21">
        <f t="shared" si="2"/>
        <v>6.8484115538171026E-4</v>
      </c>
      <c r="AG9" s="21"/>
      <c r="AH9" s="21"/>
      <c r="AI9" s="21"/>
      <c r="AJ9" s="5" t="s">
        <v>16</v>
      </c>
      <c r="AK9" s="5" t="s">
        <v>34</v>
      </c>
      <c r="AL9" s="5" t="s">
        <v>21</v>
      </c>
      <c r="AM9" s="22">
        <v>4800000</v>
      </c>
      <c r="AN9" s="27">
        <f>AM9/AM7*AN7</f>
        <v>1.0344827586206897</v>
      </c>
      <c r="AO9" s="21">
        <v>0.16875672222621799</v>
      </c>
      <c r="AP9" s="21">
        <v>3.5119359498943302E-3</v>
      </c>
      <c r="AQ9" s="21">
        <f t="shared" si="3"/>
        <v>5.9266279957258651E-4</v>
      </c>
      <c r="AR9" s="21"/>
      <c r="AS9" s="21"/>
      <c r="AT9" s="21"/>
      <c r="AU9" s="5" t="s">
        <v>17</v>
      </c>
      <c r="AV9" s="5" t="s">
        <v>35</v>
      </c>
      <c r="AW9" s="5" t="s">
        <v>21</v>
      </c>
      <c r="AX9" s="22">
        <v>22000000</v>
      </c>
      <c r="AY9" s="27">
        <f>AX9/AX7*AY7</f>
        <v>7.6388888888888884</v>
      </c>
      <c r="AZ9" s="21">
        <v>0.169952612404875</v>
      </c>
      <c r="BA9" s="21">
        <v>3.0307475769197302E-3</v>
      </c>
      <c r="BB9">
        <f>AZ9*BA9</f>
        <v>5.1508346823725295E-4</v>
      </c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</row>
    <row r="10" spans="1:129" s="5" customFormat="1">
      <c r="A10" s="16" t="s">
        <v>26</v>
      </c>
      <c r="G10" s="27"/>
      <c r="K10"/>
      <c r="L10"/>
      <c r="M10"/>
      <c r="R10" s="27"/>
      <c r="U10" s="105"/>
      <c r="V10" s="21"/>
      <c r="W10" s="21"/>
      <c r="X10"/>
      <c r="AC10" s="27"/>
      <c r="AF10" s="105"/>
      <c r="AG10" s="21"/>
      <c r="AH10" s="21"/>
      <c r="AI10"/>
      <c r="AN10" s="27"/>
      <c r="AQ10" s="105"/>
      <c r="AR10" s="21"/>
      <c r="AS10" s="21"/>
      <c r="AT10"/>
      <c r="AY10" s="27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</row>
    <row r="11" spans="1:129" s="5" customFormat="1">
      <c r="A11" s="17">
        <v>44667</v>
      </c>
      <c r="B11" s="5" t="s">
        <v>4</v>
      </c>
      <c r="C11" s="5" t="s">
        <v>30</v>
      </c>
      <c r="D11" s="5" t="s">
        <v>31</v>
      </c>
      <c r="E11" s="5" t="s">
        <v>21</v>
      </c>
      <c r="F11" s="22">
        <v>78000000</v>
      </c>
      <c r="G11" s="27">
        <v>5</v>
      </c>
      <c r="H11" s="21">
        <v>0.1055860811564</v>
      </c>
      <c r="I11" s="21">
        <v>1.28076723554712E-2</v>
      </c>
      <c r="J11">
        <f t="shared" si="0"/>
        <v>1.3523119327493629E-3</v>
      </c>
      <c r="K11"/>
      <c r="L11"/>
      <c r="M11"/>
      <c r="N11" s="5" t="s">
        <v>14</v>
      </c>
      <c r="O11" s="5" t="s">
        <v>32</v>
      </c>
      <c r="P11" s="5" t="s">
        <v>21</v>
      </c>
      <c r="Q11" s="22">
        <v>30600000</v>
      </c>
      <c r="R11" s="27">
        <v>5</v>
      </c>
      <c r="S11" s="21">
        <v>0.14899254080888699</v>
      </c>
      <c r="T11" s="21">
        <v>4.6957742755650697E-3</v>
      </c>
      <c r="U11" s="21">
        <f t="shared" si="1"/>
        <v>6.9963534038145045E-4</v>
      </c>
      <c r="V11" s="21"/>
      <c r="W11" s="21"/>
      <c r="X11" s="21"/>
      <c r="Y11" s="5" t="s">
        <v>15</v>
      </c>
      <c r="Z11" s="5" t="s">
        <v>33</v>
      </c>
      <c r="AA11" s="5" t="s">
        <v>21</v>
      </c>
      <c r="AB11" s="22">
        <v>16400000</v>
      </c>
      <c r="AC11" s="27">
        <v>5</v>
      </c>
      <c r="AD11" s="21">
        <v>0.14878530111503999</v>
      </c>
      <c r="AE11" s="21">
        <v>2.6210509250321899E-3</v>
      </c>
      <c r="AF11" s="21">
        <f t="shared" si="2"/>
        <v>3.8997385111876846E-4</v>
      </c>
      <c r="AG11" s="21"/>
      <c r="AH11" s="21"/>
      <c r="AI11" s="21"/>
      <c r="AJ11" s="5" t="s">
        <v>16</v>
      </c>
      <c r="AK11" s="5" t="s">
        <v>34</v>
      </c>
      <c r="AL11" s="5" t="s">
        <v>21</v>
      </c>
      <c r="AM11" s="22">
        <v>26800000</v>
      </c>
      <c r="AN11" s="27">
        <v>5</v>
      </c>
      <c r="AO11" s="21">
        <v>0.168993733838392</v>
      </c>
      <c r="AP11" s="21">
        <v>3.1795178096092401E-3</v>
      </c>
      <c r="AQ11" s="21">
        <f t="shared" si="3"/>
        <v>5.3731858645153106E-4</v>
      </c>
      <c r="AR11" s="21"/>
      <c r="AS11" s="21"/>
      <c r="AT11" s="21"/>
      <c r="AU11" s="5" t="s">
        <v>17</v>
      </c>
      <c r="AV11" s="5" t="s">
        <v>35</v>
      </c>
      <c r="AW11" s="5" t="s">
        <v>21</v>
      </c>
      <c r="AX11" s="22">
        <v>19900000</v>
      </c>
      <c r="AY11" s="27">
        <v>5</v>
      </c>
      <c r="AZ11" s="21">
        <v>0.16978613524011699</v>
      </c>
      <c r="BA11" s="21">
        <v>3.05194225231303E-3</v>
      </c>
      <c r="BB11">
        <f>AZ11*BA11</f>
        <v>5.1817747999624738E-4</v>
      </c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</row>
    <row r="12" spans="1:129" s="5" customFormat="1">
      <c r="A12" s="17">
        <v>44667</v>
      </c>
      <c r="B12" s="5" t="s">
        <v>3</v>
      </c>
      <c r="C12" s="5" t="s">
        <v>30</v>
      </c>
      <c r="D12" s="5" t="s">
        <v>31</v>
      </c>
      <c r="E12" s="5" t="s">
        <v>21</v>
      </c>
      <c r="F12" s="22">
        <v>1320000</v>
      </c>
      <c r="G12" s="27">
        <f>F12/F11*G11</f>
        <v>8.461538461538462E-2</v>
      </c>
      <c r="H12" s="21">
        <v>0.102994535761886</v>
      </c>
      <c r="I12" s="21">
        <v>8.0098691442472194E-3</v>
      </c>
      <c r="J12">
        <f t="shared" si="0"/>
        <v>8.2497275402519741E-4</v>
      </c>
      <c r="K12"/>
      <c r="L12"/>
      <c r="M12"/>
      <c r="N12" s="5" t="s">
        <v>14</v>
      </c>
      <c r="O12" s="5" t="s">
        <v>32</v>
      </c>
      <c r="P12" s="5" t="s">
        <v>21</v>
      </c>
      <c r="Q12" s="22">
        <v>325000</v>
      </c>
      <c r="R12" s="27">
        <f>Q12/Q11*R11</f>
        <v>5.3104575163398698E-2</v>
      </c>
      <c r="S12" s="21">
        <v>0.147201945323162</v>
      </c>
      <c r="T12" s="21">
        <v>8.9091006865136008E-3</v>
      </c>
      <c r="U12" s="21">
        <f t="shared" si="1"/>
        <v>1.3114369521347201E-3</v>
      </c>
      <c r="V12" s="21"/>
      <c r="W12" s="21"/>
      <c r="X12" s="21"/>
      <c r="Y12" s="5" t="s">
        <v>15</v>
      </c>
      <c r="Z12" s="5" t="s">
        <v>33</v>
      </c>
      <c r="AA12" s="5" t="s">
        <v>21</v>
      </c>
      <c r="AB12" s="22">
        <v>160000</v>
      </c>
      <c r="AC12" s="27">
        <f>AB12/AB11*AC11</f>
        <v>4.878048780487805E-2</v>
      </c>
      <c r="AD12" s="21">
        <v>0.145755436096593</v>
      </c>
      <c r="AE12" s="21">
        <v>5.4675769924462398E-3</v>
      </c>
      <c r="AF12" s="21">
        <f t="shared" si="2"/>
        <v>7.9692906892570004E-4</v>
      </c>
      <c r="AG12" s="21"/>
      <c r="AH12" s="21"/>
      <c r="AI12" s="21"/>
      <c r="AJ12" s="5" t="s">
        <v>16</v>
      </c>
      <c r="AK12" s="5" t="s">
        <v>34</v>
      </c>
      <c r="AL12" s="5" t="s">
        <v>21</v>
      </c>
      <c r="AM12" s="22">
        <v>915000</v>
      </c>
      <c r="AN12" s="27">
        <f>AM12/AM11*AN11</f>
        <v>0.17070895522388058</v>
      </c>
      <c r="AO12" s="21">
        <v>0.168196100327584</v>
      </c>
      <c r="AP12" s="21">
        <v>3.5204199574589601E-3</v>
      </c>
      <c r="AQ12" s="21">
        <f t="shared" si="3"/>
        <v>5.9212090835999629E-4</v>
      </c>
      <c r="AR12" s="21"/>
      <c r="AS12" s="21"/>
      <c r="AT12" s="21"/>
      <c r="AU12" s="5" t="s">
        <v>17</v>
      </c>
      <c r="AV12" s="5" t="s">
        <v>35</v>
      </c>
      <c r="AW12" s="5" t="s">
        <v>21</v>
      </c>
      <c r="AX12" s="22">
        <v>4220000</v>
      </c>
      <c r="AY12" s="27">
        <f>AX12/AX11*AY11</f>
        <v>1.0603015075376885</v>
      </c>
      <c r="AZ12" s="21">
        <v>0.16990175921398801</v>
      </c>
      <c r="BA12" s="21">
        <v>2.89079929424835E-3</v>
      </c>
      <c r="BB12">
        <f>AZ12*BA12</f>
        <v>4.9115188562734967E-4</v>
      </c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</row>
    <row r="13" spans="1:129">
      <c r="A13" s="18"/>
      <c r="U13" s="21"/>
      <c r="V13" s="21"/>
      <c r="W13" s="21"/>
    </row>
    <row r="14" spans="1:129">
      <c r="A14" s="9" t="s">
        <v>20</v>
      </c>
      <c r="U14" s="21"/>
      <c r="V14" s="21"/>
      <c r="W14" s="21"/>
    </row>
    <row r="15" spans="1:129" s="7" customFormat="1">
      <c r="A15" s="20">
        <v>44667</v>
      </c>
      <c r="B15" s="7" t="s">
        <v>6</v>
      </c>
      <c r="C15" s="7" t="s">
        <v>36</v>
      </c>
      <c r="D15" s="12" t="s">
        <v>29</v>
      </c>
      <c r="E15" s="7" t="s">
        <v>23</v>
      </c>
      <c r="F15" s="30">
        <v>500000</v>
      </c>
      <c r="G15" s="28">
        <f>G12</f>
        <v>8.461538461538462E-2</v>
      </c>
      <c r="H15" s="112">
        <v>0.109364021831655</v>
      </c>
      <c r="I15" s="112">
        <v>5.6939506615468699E-3</v>
      </c>
      <c r="J15" s="19">
        <f t="shared" si="0"/>
        <v>6.2271334445777827E-4</v>
      </c>
      <c r="K15"/>
      <c r="L15"/>
      <c r="M15"/>
      <c r="N15" s="7" t="s">
        <v>37</v>
      </c>
      <c r="O15" s="12" t="s">
        <v>29</v>
      </c>
      <c r="P15" s="7" t="s">
        <v>22</v>
      </c>
      <c r="Q15" s="30">
        <v>98400</v>
      </c>
      <c r="R15" s="28">
        <f>R12</f>
        <v>5.3104575163398698E-2</v>
      </c>
      <c r="S15" s="21">
        <v>0.15008701785241699</v>
      </c>
      <c r="T15" s="21">
        <v>5.7529988404529499E-3</v>
      </c>
      <c r="U15" s="21">
        <f t="shared" si="1"/>
        <v>8.6345043967199617E-4</v>
      </c>
      <c r="V15" s="21"/>
      <c r="W15" s="21"/>
      <c r="X15" s="21"/>
      <c r="Y15" s="7" t="s">
        <v>38</v>
      </c>
      <c r="Z15" s="12" t="s">
        <v>29</v>
      </c>
      <c r="AA15" s="7" t="s">
        <v>22</v>
      </c>
      <c r="AB15" s="30">
        <v>45000</v>
      </c>
      <c r="AC15" s="28">
        <f>AC12</f>
        <v>4.878048780487805E-2</v>
      </c>
      <c r="AD15" s="21">
        <v>0.150213164237886</v>
      </c>
      <c r="AE15" s="21">
        <v>4.52743400899652E-3</v>
      </c>
      <c r="AF15" s="21">
        <f>AD15*AE15</f>
        <v>6.8008018836958491E-4</v>
      </c>
      <c r="AG15" s="21"/>
      <c r="AH15" s="21"/>
      <c r="AI15" s="21"/>
      <c r="AJ15" s="7" t="s">
        <v>39</v>
      </c>
      <c r="AK15" s="12" t="s">
        <v>29</v>
      </c>
      <c r="AL15" s="7" t="s">
        <v>21</v>
      </c>
      <c r="AM15" s="30">
        <v>265000</v>
      </c>
      <c r="AN15" s="28">
        <f>AN12</f>
        <v>0.17070895522388058</v>
      </c>
      <c r="AO15" s="21">
        <v>0.16992284757461101</v>
      </c>
      <c r="AP15" s="21">
        <v>3.2321985882716002E-3</v>
      </c>
      <c r="AQ15" s="21">
        <f>AO15*AP15</f>
        <v>5.4922438804574805E-4</v>
      </c>
      <c r="AR15" s="21"/>
      <c r="AS15" s="21"/>
      <c r="AT15" s="21"/>
      <c r="AU15" s="7" t="s">
        <v>40</v>
      </c>
      <c r="AV15" s="12" t="s">
        <v>29</v>
      </c>
      <c r="AW15" s="7" t="s">
        <v>21</v>
      </c>
      <c r="AX15" s="30">
        <v>1000000</v>
      </c>
      <c r="AY15" s="28">
        <f>AY12</f>
        <v>1.0603015075376885</v>
      </c>
      <c r="AZ15" s="21">
        <v>0.17012140204585699</v>
      </c>
      <c r="BA15" s="21">
        <v>2.0269144945697401E-3</v>
      </c>
      <c r="BB15">
        <f>AZ15*BA15</f>
        <v>3.4482153564327375E-4</v>
      </c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</row>
    <row r="16" spans="1:129" s="7" customFormat="1">
      <c r="A16" s="20">
        <v>44667</v>
      </c>
      <c r="B16" s="70" t="s">
        <v>7</v>
      </c>
      <c r="C16" s="7" t="s">
        <v>36</v>
      </c>
      <c r="D16" s="12" t="s">
        <v>29</v>
      </c>
      <c r="E16" s="7" t="s">
        <v>22</v>
      </c>
      <c r="F16" s="30">
        <v>915000</v>
      </c>
      <c r="G16" s="28">
        <f>F16/F17*G17</f>
        <v>0.11077703513967822</v>
      </c>
      <c r="H16" s="21">
        <v>0.105623920356705</v>
      </c>
      <c r="I16" s="21">
        <v>7.71794009016791E-3</v>
      </c>
      <c r="J16">
        <f t="shared" si="0"/>
        <v>8.1519908940171591E-4</v>
      </c>
      <c r="K16"/>
      <c r="L16"/>
      <c r="M16"/>
      <c r="N16" s="7" t="s">
        <v>37</v>
      </c>
      <c r="O16" s="12" t="s">
        <v>29</v>
      </c>
      <c r="P16" s="7" t="s">
        <v>22</v>
      </c>
      <c r="Q16" s="30">
        <v>300000</v>
      </c>
      <c r="R16" s="28">
        <f>Q16/Q17*R17</f>
        <v>0.13196167021025279</v>
      </c>
      <c r="S16" s="21">
        <v>0.15265034538656999</v>
      </c>
      <c r="T16" s="21">
        <v>4.6518306220375604E-3</v>
      </c>
      <c r="U16" s="21">
        <f t="shared" si="1"/>
        <v>7.1010355113385634E-4</v>
      </c>
      <c r="V16" s="21"/>
      <c r="W16" s="21"/>
      <c r="X16" s="21"/>
      <c r="Y16" s="7" t="s">
        <v>38</v>
      </c>
      <c r="Z16" s="12" t="s">
        <v>29</v>
      </c>
      <c r="AA16" s="7" t="s">
        <v>22</v>
      </c>
      <c r="AB16" s="30">
        <v>70000</v>
      </c>
      <c r="AC16" s="28">
        <f>AB16/AB17*AC17</f>
        <v>6.1696740489086889E-2</v>
      </c>
      <c r="AD16" s="21">
        <v>0.152363273482119</v>
      </c>
      <c r="AE16" s="21">
        <v>4.8248695388720102E-3</v>
      </c>
      <c r="AF16" s="21">
        <f t="shared" ref="AF16:AF17" si="4">AD16*AE16</f>
        <v>7.3513291706670154E-4</v>
      </c>
      <c r="AG16" s="21"/>
      <c r="AH16" s="21"/>
      <c r="AI16" s="21"/>
      <c r="AJ16" s="7" t="s">
        <v>39</v>
      </c>
      <c r="AK16" s="12" t="s">
        <v>29</v>
      </c>
      <c r="AL16" s="7" t="s">
        <v>24</v>
      </c>
      <c r="AM16" s="30">
        <v>1000000</v>
      </c>
      <c r="AN16" s="28">
        <f>AM16/AM17*AN17</f>
        <v>0.4694496268656716</v>
      </c>
      <c r="AO16" s="21">
        <v>0.17087176262605</v>
      </c>
      <c r="AP16" s="21">
        <v>3.0203846393601799E-3</v>
      </c>
      <c r="AQ16" s="21">
        <f t="shared" ref="AQ16:AQ17" si="5">AO16*AP16</f>
        <v>5.1609844713612033E-4</v>
      </c>
      <c r="AR16" s="21"/>
      <c r="AS16" s="21"/>
      <c r="AT16" s="21"/>
      <c r="AU16" s="7" t="s">
        <v>40</v>
      </c>
      <c r="AV16" s="12" t="s">
        <v>29</v>
      </c>
      <c r="AW16" s="7" t="s">
        <v>24</v>
      </c>
      <c r="AX16" s="30">
        <v>3000000</v>
      </c>
      <c r="AY16" s="28">
        <f>AX16/AX17*AY17</f>
        <v>2.1868718592964824</v>
      </c>
      <c r="AZ16" s="21">
        <v>0.168548307737104</v>
      </c>
      <c r="BA16" s="21">
        <v>3.0451172420591201E-3</v>
      </c>
      <c r="BB16">
        <f>AZ16*BA16</f>
        <v>5.1324935801014195E-4</v>
      </c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</row>
    <row r="17" spans="1:129" s="7" customFormat="1">
      <c r="A17" s="20">
        <v>44667</v>
      </c>
      <c r="B17" s="7" t="s">
        <v>8</v>
      </c>
      <c r="C17" s="7" t="s">
        <v>36</v>
      </c>
      <c r="D17" s="12" t="s">
        <v>29</v>
      </c>
      <c r="E17" s="7" t="s">
        <v>22</v>
      </c>
      <c r="F17" s="30">
        <v>961000</v>
      </c>
      <c r="G17" s="28">
        <f>G12*(1.1/0.8)</f>
        <v>0.11634615384615385</v>
      </c>
      <c r="H17" s="21">
        <v>0.108703818836242</v>
      </c>
      <c r="I17" s="21">
        <v>5.1314323645300702E-3</v>
      </c>
      <c r="J17">
        <f t="shared" si="0"/>
        <v>5.5780629412430563E-4</v>
      </c>
      <c r="K17"/>
      <c r="L17"/>
      <c r="M17"/>
      <c r="N17" s="7" t="s">
        <v>37</v>
      </c>
      <c r="O17" s="12" t="s">
        <v>29</v>
      </c>
      <c r="P17" s="7" t="s">
        <v>22</v>
      </c>
      <c r="Q17" s="30">
        <v>166000</v>
      </c>
      <c r="R17" s="28">
        <f>R12*(1.1/0.8)</f>
        <v>7.3018790849673207E-2</v>
      </c>
      <c r="S17" s="21">
        <v>0.15221591525665101</v>
      </c>
      <c r="T17" s="21">
        <v>5.6963484246708796E-3</v>
      </c>
      <c r="U17" s="21">
        <f t="shared" si="1"/>
        <v>8.6707488908206016E-4</v>
      </c>
      <c r="V17" s="21"/>
      <c r="W17" s="21"/>
      <c r="X17" s="21"/>
      <c r="Y17" s="7" t="s">
        <v>38</v>
      </c>
      <c r="Z17" s="12" t="s">
        <v>29</v>
      </c>
      <c r="AA17" s="7" t="s">
        <v>22</v>
      </c>
      <c r="AB17" s="30">
        <v>76100</v>
      </c>
      <c r="AC17" s="28">
        <f>AC12*(1.1/0.8)</f>
        <v>6.7073170731707321E-2</v>
      </c>
      <c r="AD17" s="21">
        <v>0.150217780287626</v>
      </c>
      <c r="AE17" s="21">
        <v>3.7060798448697598E-3</v>
      </c>
      <c r="AF17" s="21">
        <f t="shared" si="4"/>
        <v>5.5671908786504467E-4</v>
      </c>
      <c r="AG17" s="21"/>
      <c r="AH17" s="21"/>
      <c r="AI17" s="21"/>
      <c r="AJ17" s="7" t="s">
        <v>39</v>
      </c>
      <c r="AK17" s="12" t="s">
        <v>29</v>
      </c>
      <c r="AL17" s="7" t="s">
        <v>24</v>
      </c>
      <c r="AM17" s="30">
        <v>500000</v>
      </c>
      <c r="AN17" s="28">
        <f>AN12*(1.1/0.8)</f>
        <v>0.2347248134328358</v>
      </c>
      <c r="AO17" s="21">
        <v>0.169706217315129</v>
      </c>
      <c r="AP17" s="21">
        <v>2.3273070778192001E-3</v>
      </c>
      <c r="AQ17" s="21">
        <f t="shared" si="5"/>
        <v>3.9495848070742303E-4</v>
      </c>
      <c r="AR17" s="21"/>
      <c r="AS17" s="21"/>
      <c r="AT17" s="21"/>
      <c r="AU17" s="7" t="s">
        <v>40</v>
      </c>
      <c r="AV17" s="12" t="s">
        <v>29</v>
      </c>
      <c r="AW17" s="7" t="s">
        <v>24</v>
      </c>
      <c r="AX17" s="30">
        <v>2000000</v>
      </c>
      <c r="AY17" s="28">
        <f>AY12*(1.1/0.8)</f>
        <v>1.4579145728643217</v>
      </c>
      <c r="AZ17" s="21">
        <v>0.16950710030388999</v>
      </c>
      <c r="BA17" s="21">
        <v>1.9163896366100901E-3</v>
      </c>
      <c r="BB17">
        <f>AZ17*BA17</f>
        <v>3.2484165035420184E-4</v>
      </c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</row>
    <row r="18" spans="1:129" ht="19" customHeight="1">
      <c r="A18" s="18"/>
      <c r="D18" s="32"/>
      <c r="F18" s="53"/>
      <c r="G18" s="62"/>
      <c r="H18" s="63" t="s">
        <v>96</v>
      </c>
      <c r="I18" s="63" t="s">
        <v>100</v>
      </c>
      <c r="J18" s="111" t="s">
        <v>96</v>
      </c>
      <c r="K18" s="111" t="s">
        <v>100</v>
      </c>
      <c r="L18" s="111"/>
      <c r="O18" s="32"/>
      <c r="Q18" s="53"/>
      <c r="R18" s="62"/>
      <c r="S18" s="63" t="s">
        <v>96</v>
      </c>
      <c r="T18" s="63" t="s">
        <v>100</v>
      </c>
      <c r="U18" s="111" t="s">
        <v>96</v>
      </c>
      <c r="V18" s="111" t="s">
        <v>100</v>
      </c>
      <c r="W18" s="111"/>
      <c r="X18" s="21"/>
      <c r="Z18" s="32"/>
      <c r="AB18" s="53"/>
      <c r="AC18" s="62"/>
      <c r="AD18" s="63" t="s">
        <v>96</v>
      </c>
      <c r="AE18" s="63" t="s">
        <v>100</v>
      </c>
      <c r="AF18" s="111" t="s">
        <v>96</v>
      </c>
      <c r="AG18" s="111" t="s">
        <v>100</v>
      </c>
      <c r="AH18" s="1"/>
      <c r="AI18" s="21"/>
      <c r="AK18" s="32"/>
      <c r="AM18" s="53"/>
      <c r="AN18" s="62"/>
      <c r="AO18" s="63" t="s">
        <v>96</v>
      </c>
      <c r="AP18" s="63" t="s">
        <v>100</v>
      </c>
      <c r="AQ18" s="111" t="s">
        <v>96</v>
      </c>
      <c r="AR18" s="111" t="s">
        <v>100</v>
      </c>
      <c r="AS18" s="111"/>
      <c r="AT18" s="21"/>
      <c r="AV18" s="32"/>
      <c r="AX18" s="53"/>
      <c r="AY18" s="62"/>
      <c r="AZ18" s="63" t="s">
        <v>96</v>
      </c>
      <c r="BA18" s="63" t="s">
        <v>100</v>
      </c>
      <c r="BB18" s="111" t="s">
        <v>96</v>
      </c>
      <c r="BC18" s="111" t="s">
        <v>100</v>
      </c>
    </row>
    <row r="19" spans="1:129" ht="19" customHeight="1">
      <c r="A19" s="18"/>
      <c r="D19" s="32"/>
      <c r="F19" s="53"/>
      <c r="G19" s="63" t="s">
        <v>94</v>
      </c>
      <c r="H19" s="67">
        <f>SUM(H8/I8^2,H16/I16^2)/SUM(1/I8^2,1/I16^2)</f>
        <v>0.10545427711429489</v>
      </c>
      <c r="I19" s="67">
        <f>SQRT(1/SUM(1/I8^2,1/I16^2))</f>
        <v>7.418437125390127E-3</v>
      </c>
      <c r="J19" s="110"/>
      <c r="K19" s="110"/>
      <c r="L19" s="110"/>
      <c r="O19" s="32"/>
      <c r="Q19" s="53"/>
      <c r="R19" s="63" t="s">
        <v>94</v>
      </c>
      <c r="S19" s="67">
        <f>SUM(S8/T8^2,S16/T16^2)/SUM(1/T8^2,1/T16^2)</f>
        <v>0.15242050858726322</v>
      </c>
      <c r="T19" s="67">
        <f>SQRT(1/SUM(1/T8^2,1/T16^2))</f>
        <v>4.5416734261163362E-3</v>
      </c>
      <c r="U19" s="110"/>
      <c r="V19" s="110"/>
      <c r="W19" s="110"/>
      <c r="X19" s="21"/>
      <c r="Z19" s="32"/>
      <c r="AB19" s="53"/>
      <c r="AC19" s="63" t="s">
        <v>94</v>
      </c>
      <c r="AD19" s="67">
        <f>SUM(AG8/AE8^2,AD16/AE16^2)/SUM(1/AE8^2,1/AE16^2)</f>
        <v>0.13377282901689722</v>
      </c>
      <c r="AE19" s="67">
        <f>SQRT(1/SUM(1/AE8^2,1/AE16^2))</f>
        <v>4.5209466614749283E-3</v>
      </c>
      <c r="AF19" s="110"/>
      <c r="AG19" s="110"/>
      <c r="AI19" s="21"/>
      <c r="AK19" s="32"/>
      <c r="AM19" s="53"/>
      <c r="AN19" s="63" t="s">
        <v>94</v>
      </c>
      <c r="AO19" s="67">
        <f>SUM(AO8/AP8^2,AO16/AP16^2)/SUM(1/AP8^2,1/AP16^2)</f>
        <v>0.1704219933756945</v>
      </c>
      <c r="AP19" s="67">
        <f>SQRT(1/SUM(1/AP8^2,1/AP16^2))</f>
        <v>2.8503798119825386E-3</v>
      </c>
      <c r="AQ19" s="110"/>
      <c r="AR19" s="110"/>
      <c r="AS19" s="110"/>
      <c r="AT19" s="21"/>
      <c r="AV19" s="32"/>
      <c r="AX19" s="53"/>
      <c r="AY19" s="63" t="s">
        <v>94</v>
      </c>
      <c r="AZ19" s="67">
        <f>SUM(AZ8/BA8^2,AZ16/BA16^2)/SUM(1/BA8^2,1/BA16^2)</f>
        <v>0.1684974295796903</v>
      </c>
      <c r="BA19" s="67">
        <f>SQRT(1/SUM(1/BA8^2,1/BA16^2))</f>
        <v>2.6393541403653387E-3</v>
      </c>
      <c r="BB19" s="110"/>
      <c r="BC19" s="110"/>
    </row>
    <row r="20" spans="1:129" ht="19" customHeight="1">
      <c r="A20" s="18"/>
      <c r="D20" s="32"/>
      <c r="F20" s="53"/>
      <c r="G20" s="63" t="s">
        <v>95</v>
      </c>
      <c r="H20" s="67">
        <f>SUM(H7/I7^2,H9/I9^2,H11/I11^2,H12/I12^2,H17/I17^2,H15/I15^2)/SUM(1/I7^2,1/I9^2,1/I11^2,1/I12^2,,1/I17^2, 1/I15^2)</f>
        <v>0.1071463494168209</v>
      </c>
      <c r="I20" s="67">
        <f>SQRT(1/SUM(1/I7^2,1/I9^2,1/I11^2,1/I12^2,1/I15^2,1/I17^2))</f>
        <v>2.9563884095068281E-3</v>
      </c>
      <c r="J20" s="110"/>
      <c r="K20" s="110"/>
      <c r="L20" s="110"/>
      <c r="O20" s="32"/>
      <c r="Q20" s="53"/>
      <c r="R20" s="63" t="s">
        <v>95</v>
      </c>
      <c r="S20" s="67">
        <f>SUM(S7/T7^2,S9/T9^2,S11/T11^2,S12/T12^2,S15/T15^2,S17/T17^2)/SUM(1/T7^2,1/T9^2,1/T11^2,1/T12^2,1/T15^2,1/T17^2)</f>
        <v>0.14871819034388831</v>
      </c>
      <c r="T20" s="67">
        <f>SQRT(1/SUM(1/T7^2,1/T9^2,1/T11^2,1/T12^2,1/T15^2,1/T17^2))</f>
        <v>2.3279931180345648E-3</v>
      </c>
      <c r="U20" s="110"/>
      <c r="V20" s="110"/>
      <c r="W20" s="110"/>
      <c r="X20" s="21"/>
      <c r="Z20" s="32"/>
      <c r="AB20" s="53"/>
      <c r="AC20" s="63" t="s">
        <v>95</v>
      </c>
      <c r="AD20" s="67">
        <f>SUM(AD7/AE7^2,AD9/AE9^2,AD11/AE11^2,AD12/AE12^2,AD15/AE15^2,AD17/AE17^2)/SUM(1/AE7^2,1/AE9^2,1/AE11^2,1/AE12^2,1/AE15^2,1/AE17^2)</f>
        <v>0.14850275474735783</v>
      </c>
      <c r="AE20" s="67">
        <f>SQRT(1/SUM(1/AE7^2,1/AE9^2,1/AE11^2,1/AE12^2,1/AE15^2,1/AE17^2))</f>
        <v>1.4128149554909616E-3</v>
      </c>
      <c r="AF20" s="110"/>
      <c r="AG20" s="110"/>
      <c r="AI20" s="21"/>
      <c r="AK20" s="32"/>
      <c r="AM20" s="53"/>
      <c r="AN20" s="63" t="s">
        <v>95</v>
      </c>
      <c r="AO20" s="67">
        <f>SUM(AO7/AP7^2,AO9/AP9^2,AO11/AP11^2,AO12/AP12^2,AO15/AP15^2,AO17/AP17^2)/SUM(1/AP7^2,1/AP9^2,1/AP11^2,1/AP12^2,1/AP15^2,1/AP17^2)</f>
        <v>0.16931718085929751</v>
      </c>
      <c r="AP20" s="67">
        <f>SQRT(1/SUM(1/AP7^2,1/AP9^2,1/AP11^2,1/AP12^2,1/AP15^2,1/AP17^2))</f>
        <v>1.2545791531756549E-3</v>
      </c>
      <c r="AQ20" s="110"/>
      <c r="AR20" s="110"/>
      <c r="AS20" s="110"/>
      <c r="AT20" s="21"/>
      <c r="AV20" s="32"/>
      <c r="AX20" s="53"/>
      <c r="AY20" s="63" t="s">
        <v>95</v>
      </c>
      <c r="AZ20" s="67">
        <f>SUM(AZ7/BA7^2,AZ9/BA9^2,AZ11/BA11^2,AZ12/BA12^2,AZ15/BA15^2,AZ17/BA17^2)/SUM(1/BA7^2,1/BA9^2,1/BA11^2,1/BA12^2,1/BA15^2,1/BA17^2)</f>
        <v>0.16972430871331207</v>
      </c>
      <c r="BA20" s="67">
        <f>SQRT(1/SUM(1/BA7^2,1/BA9^2,1/BA11^2,1/BA12^2,1/BA15^2,1/BA17^2))</f>
        <v>1.0269062750071106E-3</v>
      </c>
      <c r="BB20" s="110"/>
      <c r="BC20" s="110"/>
    </row>
    <row r="21" spans="1:129" ht="19" customHeight="1">
      <c r="A21" s="18"/>
      <c r="D21" s="32"/>
      <c r="F21" s="53"/>
      <c r="G21" s="65" t="s">
        <v>97</v>
      </c>
      <c r="H21" s="67">
        <f>H19/H20</f>
        <v>0.98420783991488592</v>
      </c>
      <c r="I21" s="67">
        <f>SQRT(I19^2+I20^2)</f>
        <v>7.9858275595728247E-3</v>
      </c>
      <c r="J21" s="110">
        <f>AVERAGE((H8/H7)*(H11/H12),H16/H17)</f>
        <v>0.99623350869170779</v>
      </c>
      <c r="K21" s="110">
        <f>STDEV((H8/H7)*(H11/H12),H16/H17)/SQRT(2)</f>
        <v>2.4566445956559099E-2</v>
      </c>
      <c r="L21" s="110"/>
      <c r="O21" s="32"/>
      <c r="Q21" s="53"/>
      <c r="R21" s="65" t="s">
        <v>97</v>
      </c>
      <c r="S21" s="67">
        <f>S19/S20</f>
        <v>1.0248948580857113</v>
      </c>
      <c r="T21" s="67">
        <f>SQRT(T19^2+T20^2)</f>
        <v>5.1035624290398946E-3</v>
      </c>
      <c r="U21" s="110">
        <f>AVERAGE((S8/S7)*(S11/S12),S16/S17)</f>
        <v>1.0097881122091728</v>
      </c>
      <c r="V21" s="110">
        <f>STDEV((S8/S7)*(S11/S12),S16/S17)/SQRT(2)</f>
        <v>6.9340733973541901E-3</v>
      </c>
      <c r="W21" s="110"/>
      <c r="X21" s="21"/>
      <c r="Z21" s="32"/>
      <c r="AB21" s="53"/>
      <c r="AC21" s="65" t="s">
        <v>97</v>
      </c>
      <c r="AD21" s="67">
        <f>AD19/AD20</f>
        <v>0.90081042095468133</v>
      </c>
      <c r="AE21" s="67">
        <f>SQRT(AE19^2+AE20^2)</f>
        <v>4.7365604413287313E-3</v>
      </c>
      <c r="AF21" s="110">
        <f>AVERAGE((AD8/AD7)*(AD11/AD12),AD16/AD17)</f>
        <v>1.0139828874051751</v>
      </c>
      <c r="AG21" s="110">
        <f>STDEV((AD8/AD7)*(AD11/AD12),AD16/AD17)/SQRT(2)</f>
        <v>2.996641701774605E-4</v>
      </c>
      <c r="AI21" s="21"/>
      <c r="AK21" s="32"/>
      <c r="AM21" s="53"/>
      <c r="AN21" s="65" t="s">
        <v>97</v>
      </c>
      <c r="AO21" s="67">
        <f>AO19/AO20</f>
        <v>1.0065251057854259</v>
      </c>
      <c r="AP21" s="67">
        <f>SQRT(AP19^2+AP20^2)</f>
        <v>3.1142629824953056E-3</v>
      </c>
      <c r="AQ21" s="110">
        <f>AVERAGE((AO8/AO7)*(AO11/AO12),AO16/AO17)</f>
        <v>0.99704224231229688</v>
      </c>
      <c r="AR21" s="110">
        <f>STDEV((AO8/AO7)*(AO11/AO12),AO16/AO17)/SQRT(2)</f>
        <v>9.8257754265977382E-3</v>
      </c>
      <c r="AS21" s="110"/>
      <c r="AT21" s="21"/>
      <c r="AV21" s="32"/>
      <c r="AX21" s="53"/>
      <c r="AY21" s="65" t="s">
        <v>97</v>
      </c>
      <c r="AZ21" s="67">
        <f>AZ19/AZ20</f>
        <v>0.99277134110651089</v>
      </c>
      <c r="BA21" s="67">
        <f>SQRT(BA19^2+BA20^2)</f>
        <v>2.832088765542605E-3</v>
      </c>
      <c r="BB21" s="110">
        <f>AVERAGE((AZ8/AZ7)*(AZ11/AZ12),AZ16/AZ17)</f>
        <v>0.99550738316421783</v>
      </c>
      <c r="BC21" s="110">
        <f>STDEV((AZ8/AZ7)*(AZ11/AZ12),AZ16/AZ17)/SQRT(2)</f>
        <v>1.16373953552662E-3</v>
      </c>
    </row>
    <row r="22" spans="1:129" ht="19" customHeight="1">
      <c r="A22" s="18"/>
      <c r="D22" s="32"/>
      <c r="F22" s="53"/>
      <c r="G22" s="65" t="s">
        <v>99</v>
      </c>
      <c r="H22" s="67">
        <f>1000*(H21-1)</f>
        <v>-15.792160085114082</v>
      </c>
      <c r="I22" s="67">
        <f>I21*1000</f>
        <v>7.985827559572825</v>
      </c>
      <c r="J22" s="110">
        <f>(J21-1)*1000</f>
        <v>-3.766491308292208</v>
      </c>
      <c r="K22" s="110">
        <f>K21*1000</f>
        <v>24.5664459565591</v>
      </c>
      <c r="L22" s="110"/>
      <c r="O22" s="32"/>
      <c r="Q22" s="53"/>
      <c r="R22" s="65" t="s">
        <v>99</v>
      </c>
      <c r="S22" s="67">
        <f>1000*(S21-1)</f>
        <v>24.894858085711348</v>
      </c>
      <c r="T22" s="67">
        <f>T21*1000</f>
        <v>5.1035624290398944</v>
      </c>
      <c r="U22" s="110">
        <f>(U21-1)*1000</f>
        <v>9.7881122091727502</v>
      </c>
      <c r="V22" s="110">
        <f>V21*1000</f>
        <v>6.9340733973541901</v>
      </c>
      <c r="W22" s="110"/>
      <c r="X22" s="21"/>
      <c r="Z22" s="32"/>
      <c r="AB22" s="53"/>
      <c r="AC22" s="65" t="s">
        <v>99</v>
      </c>
      <c r="AD22" s="67">
        <f>1000*(AD21-1)</f>
        <v>-99.189579045318666</v>
      </c>
      <c r="AE22" s="67">
        <f>AE21*1000</f>
        <v>4.7365604413287317</v>
      </c>
      <c r="AF22" s="110">
        <f>(AF21-1)*1000</f>
        <v>13.98288740517506</v>
      </c>
      <c r="AG22" s="110">
        <f>AG21*1000</f>
        <v>0.2996641701774605</v>
      </c>
      <c r="AI22" s="21"/>
      <c r="AK22" s="32"/>
      <c r="AM22" s="53"/>
      <c r="AN22" s="65" t="s">
        <v>99</v>
      </c>
      <c r="AO22" s="67">
        <f>1000*(AO21-1)</f>
        <v>6.5251057854258665</v>
      </c>
      <c r="AP22" s="67">
        <f>AP21*1000</f>
        <v>3.1142629824953056</v>
      </c>
      <c r="AQ22" s="110">
        <f>(AQ21-1)*1000</f>
        <v>-2.957757687703122</v>
      </c>
      <c r="AR22" s="110">
        <f>AR21*1000</f>
        <v>9.8257754265977386</v>
      </c>
      <c r="AS22" s="110"/>
      <c r="AT22" s="21"/>
      <c r="AV22" s="32"/>
      <c r="AX22" s="53"/>
      <c r="AY22" s="65" t="s">
        <v>99</v>
      </c>
      <c r="AZ22" s="67">
        <f>1000*(AZ21-1)</f>
        <v>-7.2286588934891149</v>
      </c>
      <c r="BA22" s="67">
        <f>BA21*1000</f>
        <v>2.832088765542605</v>
      </c>
      <c r="BB22" s="110">
        <f>(BB21-1)*1000</f>
        <v>-4.4926168357821705</v>
      </c>
      <c r="BC22" s="110">
        <f>BC21*1000</f>
        <v>1.16373953552662</v>
      </c>
    </row>
    <row r="23" spans="1:129" ht="19" customHeight="1">
      <c r="A23" s="19"/>
      <c r="G23" s="65" t="s">
        <v>98</v>
      </c>
      <c r="H23" s="64">
        <f>1000*((((F1/1000)+1)*H21)-1)</f>
        <v>-39.216306675088461</v>
      </c>
      <c r="I23" s="64">
        <f>SQRT(I22^2+G1^2)</f>
        <v>8.0008463184361229</v>
      </c>
      <c r="J23" s="110">
        <f>1000*((((F1/1000)+1)*J21)-1)</f>
        <v>-27.476848815154888</v>
      </c>
      <c r="K23" s="110">
        <f>SQRT(K22^2+G1^2)</f>
        <v>24.571332217373541</v>
      </c>
      <c r="L23" s="110"/>
      <c r="R23" s="65" t="s">
        <v>98</v>
      </c>
      <c r="S23" s="64">
        <f>1000*((((Q1/1000)+1)*S21)-1)</f>
        <v>-0.11257645158002649</v>
      </c>
      <c r="T23" s="64">
        <f>SQRT(T22^2+R1^2)</f>
        <v>5.1341941399899937</v>
      </c>
      <c r="U23" s="110">
        <f>1000*((((Q1/1000)+1)*U21)-1)</f>
        <v>-14.850717728731034</v>
      </c>
      <c r="V23" s="110">
        <f>SQRT(V22^2+R1^2)</f>
        <v>6.9566496160073408</v>
      </c>
      <c r="W23" s="110"/>
      <c r="AC23" s="65" t="s">
        <v>98</v>
      </c>
      <c r="AD23" s="64">
        <f>1000*((((AC1/1000)+1)*AD21)-1)</f>
        <v>-120.89911019032651</v>
      </c>
      <c r="AE23" s="64">
        <f>SQRT(AE22^2+AD1^2)</f>
        <v>4.7588449033731104</v>
      </c>
      <c r="AF23" s="110">
        <f>1000*((((AC1/1000)+1)*AF21)-1)</f>
        <v>-10.454100181289672</v>
      </c>
      <c r="AG23" s="110">
        <f>SQRT(AG22^2+AD1^2)</f>
        <v>0.54899782776268435</v>
      </c>
      <c r="AN23" s="65" t="s">
        <v>98</v>
      </c>
      <c r="AO23" s="64">
        <f>1000*((((AN1/1000)+1)*AO21)-1)</f>
        <v>-17.832801774581462</v>
      </c>
      <c r="AP23" s="64">
        <f>SQRT(AP22^2+AO1^2)</f>
        <v>3.1424566702089236</v>
      </c>
      <c r="AQ23" s="110">
        <f>1000*((((AN1/1000)+1)*AQ21)-1)</f>
        <v>-27.086179951660739</v>
      </c>
      <c r="AR23" s="110">
        <f>SQRT(AR22^2+AO1^2)</f>
        <v>9.8347477209093661</v>
      </c>
      <c r="AS23" s="110"/>
      <c r="AY23" s="65" t="s">
        <v>98</v>
      </c>
      <c r="AZ23" s="64">
        <f>1000*((((AX1/1000)+1)*AZ21)-1)</f>
        <v>-32.246496689373181</v>
      </c>
      <c r="BA23" s="64">
        <f>SQRT(BA22^2+AY1^2)</f>
        <v>2.8741654051067829</v>
      </c>
      <c r="BB23" s="110">
        <f>1000*((((AX1/1000)+1)*BB21)-1)</f>
        <v>-29.579402891520502</v>
      </c>
      <c r="BC23" s="110">
        <f>SQRT(BC22^2+AY1^2)</f>
        <v>1.2626914534230891</v>
      </c>
    </row>
    <row r="24" spans="1:129">
      <c r="A24" s="19"/>
      <c r="AF24" s="1" t="s">
        <v>162</v>
      </c>
    </row>
    <row r="25" spans="1:129" ht="31">
      <c r="A25" s="33" t="s">
        <v>62</v>
      </c>
    </row>
    <row r="26" spans="1:129">
      <c r="A26" s="19" t="s">
        <v>63</v>
      </c>
    </row>
    <row r="27" spans="1:129">
      <c r="A27" s="34">
        <v>44668</v>
      </c>
      <c r="B27" s="35" t="s">
        <v>54</v>
      </c>
      <c r="C27" s="36" t="s">
        <v>64</v>
      </c>
      <c r="D27" s="38" t="s">
        <v>29</v>
      </c>
      <c r="E27" s="36" t="s">
        <v>22</v>
      </c>
      <c r="F27" s="45">
        <v>19800000</v>
      </c>
      <c r="G27" s="37">
        <v>5</v>
      </c>
      <c r="H27" s="21">
        <v>0.107712285231472</v>
      </c>
      <c r="I27" s="21">
        <v>8.0425674635414696E-3</v>
      </c>
      <c r="J27">
        <f>H27*I27</f>
        <v>8.6628332062633508E-4</v>
      </c>
      <c r="N27" s="36" t="s">
        <v>65</v>
      </c>
      <c r="O27" s="38" t="s">
        <v>29</v>
      </c>
      <c r="P27" s="36" t="s">
        <v>22</v>
      </c>
      <c r="Q27" s="45">
        <v>5540000</v>
      </c>
      <c r="R27" s="37">
        <v>5</v>
      </c>
      <c r="S27" s="21">
        <v>0.149176567597057</v>
      </c>
      <c r="T27" s="21">
        <v>4.6440205913524301E-3</v>
      </c>
      <c r="U27" s="21">
        <f>S27*T27</f>
        <v>6.9277905166801039E-4</v>
      </c>
      <c r="V27" s="21"/>
      <c r="W27" s="21"/>
      <c r="X27" s="21"/>
      <c r="Y27" s="36" t="s">
        <v>66</v>
      </c>
      <c r="Z27" s="38" t="s">
        <v>29</v>
      </c>
      <c r="AA27" s="36" t="s">
        <v>22</v>
      </c>
      <c r="AB27" s="45">
        <v>2950000</v>
      </c>
      <c r="AC27" s="37">
        <v>5</v>
      </c>
      <c r="AD27" s="21">
        <v>0.15051126854191499</v>
      </c>
      <c r="AE27" s="21">
        <v>3.26896477360003E-3</v>
      </c>
      <c r="AF27" s="21">
        <f>AD27*AE27</f>
        <v>4.920160348933745E-4</v>
      </c>
      <c r="AG27" s="21"/>
      <c r="AH27" s="21"/>
      <c r="AI27" s="21"/>
      <c r="AJ27" s="36" t="s">
        <v>67</v>
      </c>
      <c r="AK27" s="38" t="s">
        <v>29</v>
      </c>
      <c r="AL27" s="36" t="s">
        <v>24</v>
      </c>
      <c r="AM27" s="45">
        <v>4960000</v>
      </c>
      <c r="AN27" s="37">
        <v>5</v>
      </c>
      <c r="AO27" s="21">
        <v>0.16940595495474201</v>
      </c>
      <c r="AP27" s="21">
        <v>1.85990537046101E-3</v>
      </c>
      <c r="AQ27" s="21">
        <f>AO27*AP27</f>
        <v>3.1507904540840057E-4</v>
      </c>
      <c r="AR27" s="21"/>
      <c r="AS27" s="21"/>
      <c r="AT27" s="21"/>
      <c r="AU27" s="36" t="s">
        <v>68</v>
      </c>
      <c r="AV27" s="38" t="s">
        <v>29</v>
      </c>
      <c r="AW27" s="36" t="s">
        <v>24</v>
      </c>
      <c r="AX27" s="45">
        <v>4080000</v>
      </c>
      <c r="AY27" s="37">
        <v>5</v>
      </c>
      <c r="AZ27" s="21">
        <v>0.16991581214191601</v>
      </c>
      <c r="BA27" s="21">
        <v>1.99141446186609E-3</v>
      </c>
      <c r="BB27">
        <f t="shared" ref="BB27:BB36" si="6">AZ27*BA27</f>
        <v>3.3837280559913333E-4</v>
      </c>
    </row>
    <row r="28" spans="1:129">
      <c r="A28" s="34">
        <v>44668</v>
      </c>
      <c r="B28" s="35" t="s">
        <v>57</v>
      </c>
      <c r="C28" s="36" t="s">
        <v>64</v>
      </c>
      <c r="D28" s="38" t="s">
        <v>29</v>
      </c>
      <c r="E28" s="36" t="s">
        <v>22</v>
      </c>
      <c r="F28" s="45">
        <v>670000</v>
      </c>
      <c r="G28" s="37">
        <f>F28/F27*G27</f>
        <v>0.1691919191919192</v>
      </c>
      <c r="H28" s="21">
        <v>0.109190971822458</v>
      </c>
      <c r="I28" s="21">
        <v>5.3251017011009096E-3</v>
      </c>
      <c r="J28">
        <f t="shared" ref="J28:J36" si="7">H28*I28</f>
        <v>5.8145302979663261E-4</v>
      </c>
      <c r="N28" s="36" t="s">
        <v>65</v>
      </c>
      <c r="O28" s="38" t="s">
        <v>29</v>
      </c>
      <c r="P28" s="36" t="s">
        <v>22</v>
      </c>
      <c r="Q28" s="45">
        <v>113000</v>
      </c>
      <c r="R28" s="37">
        <f>Q28/Q27*R27</f>
        <v>0.101985559566787</v>
      </c>
      <c r="S28" s="21">
        <v>0.149213535608436</v>
      </c>
      <c r="T28" s="21">
        <v>4.6360555807570102E-3</v>
      </c>
      <c r="U28" s="21">
        <f t="shared" ref="U28:U36" si="8">S28*T28</f>
        <v>6.9176224448197466E-4</v>
      </c>
      <c r="V28" s="21"/>
      <c r="W28" s="21"/>
      <c r="X28" s="21"/>
      <c r="Y28" s="36" t="s">
        <v>66</v>
      </c>
      <c r="Z28" s="38" t="s">
        <v>29</v>
      </c>
      <c r="AA28" s="36" t="s">
        <v>22</v>
      </c>
      <c r="AB28" s="45">
        <v>54400</v>
      </c>
      <c r="AC28" s="37">
        <f>AB28/AB27*AC27</f>
        <v>9.2203389830508464E-2</v>
      </c>
      <c r="AD28" s="21">
        <v>0.150956003081718</v>
      </c>
      <c r="AE28" s="21">
        <v>3.8069622559348398E-3</v>
      </c>
      <c r="AF28" s="21">
        <f t="shared" ref="AF28:AF36" si="9">AD28*AE28</f>
        <v>5.7468380603888374E-4</v>
      </c>
      <c r="AG28" s="21"/>
      <c r="AH28" s="21"/>
      <c r="AI28" s="21"/>
      <c r="AJ28" s="36" t="s">
        <v>67</v>
      </c>
      <c r="AK28" s="38" t="s">
        <v>29</v>
      </c>
      <c r="AL28" s="36" t="s">
        <v>24</v>
      </c>
      <c r="AM28" s="45">
        <v>380000</v>
      </c>
      <c r="AN28" s="37">
        <f>AM28/AM27*AN27</f>
        <v>0.38306451612903225</v>
      </c>
      <c r="AO28" s="21">
        <v>0.16925618830670999</v>
      </c>
      <c r="AP28" s="21">
        <v>2.5403301284252998E-3</v>
      </c>
      <c r="AQ28" s="21">
        <f t="shared" ref="AQ28:AQ36" si="10">AO28*AP28</f>
        <v>4.2996659457796135E-4</v>
      </c>
      <c r="AR28" s="21"/>
      <c r="AS28" s="21"/>
      <c r="AT28" s="21"/>
      <c r="AU28" s="36" t="s">
        <v>68</v>
      </c>
      <c r="AV28" s="38" t="s">
        <v>29</v>
      </c>
      <c r="AW28" s="36" t="s">
        <v>24</v>
      </c>
      <c r="AX28" s="45">
        <v>1530000</v>
      </c>
      <c r="AY28" s="37">
        <f>AX28/AX27*AY27</f>
        <v>1.875</v>
      </c>
      <c r="AZ28" s="21">
        <v>0.16901113152545</v>
      </c>
      <c r="BA28" s="21">
        <v>2.04237001868761E-3</v>
      </c>
      <c r="BB28">
        <f t="shared" si="6"/>
        <v>3.4518326785204745E-4</v>
      </c>
    </row>
    <row r="29" spans="1:129">
      <c r="A29" s="34">
        <v>44668</v>
      </c>
      <c r="B29" s="69" t="s">
        <v>53</v>
      </c>
      <c r="C29" s="36" t="s">
        <v>64</v>
      </c>
      <c r="D29" s="38" t="s">
        <v>29</v>
      </c>
      <c r="E29" s="36" t="s">
        <v>22</v>
      </c>
      <c r="F29" s="45">
        <v>131000</v>
      </c>
      <c r="G29" s="37">
        <f>F29/F28*G28</f>
        <v>3.3080808080808079E-2</v>
      </c>
      <c r="H29" s="21">
        <v>0.10814802469809399</v>
      </c>
      <c r="I29" s="21">
        <v>7.5064559619208802E-3</v>
      </c>
      <c r="J29">
        <f t="shared" si="7"/>
        <v>8.1180838476497424E-4</v>
      </c>
      <c r="N29" s="36" t="s">
        <v>65</v>
      </c>
      <c r="O29" s="38" t="s">
        <v>29</v>
      </c>
      <c r="P29" s="36" t="s">
        <v>22</v>
      </c>
      <c r="Q29" s="45">
        <v>25400</v>
      </c>
      <c r="R29" s="37">
        <f>Q29/Q28*R28</f>
        <v>2.2924187725631769E-2</v>
      </c>
      <c r="S29" s="21">
        <v>0.15092993736985799</v>
      </c>
      <c r="T29" s="21">
        <v>7.7771888983931402E-3</v>
      </c>
      <c r="U29" s="21">
        <f t="shared" si="8"/>
        <v>1.1738106333480315E-3</v>
      </c>
      <c r="V29" s="21"/>
      <c r="W29" s="21"/>
      <c r="X29" s="21"/>
      <c r="Y29" s="36" t="s">
        <v>66</v>
      </c>
      <c r="Z29" s="38" t="s">
        <v>29</v>
      </c>
      <c r="AA29" s="36" t="s">
        <v>22</v>
      </c>
      <c r="AB29" s="45">
        <v>12900</v>
      </c>
      <c r="AC29" s="37">
        <f>AB29/AB28*AC28</f>
        <v>2.1864406779661012E-2</v>
      </c>
      <c r="AD29" s="21">
        <v>0.15165001553761301</v>
      </c>
      <c r="AE29" s="21">
        <v>8.5000886115316494E-3</v>
      </c>
      <c r="AF29" s="21">
        <f t="shared" si="9"/>
        <v>1.289038570009862E-3</v>
      </c>
      <c r="AG29" s="21"/>
      <c r="AH29" s="21"/>
      <c r="AI29" s="21"/>
      <c r="AJ29" s="36" t="s">
        <v>67</v>
      </c>
      <c r="AK29" s="38" t="s">
        <v>29</v>
      </c>
      <c r="AL29" s="36" t="s">
        <v>24</v>
      </c>
      <c r="AM29" s="45">
        <v>152000</v>
      </c>
      <c r="AN29" s="37">
        <f>AM29/AM28*AN28</f>
        <v>0.15322580645161291</v>
      </c>
      <c r="AO29" s="21">
        <v>0.17082979195693301</v>
      </c>
      <c r="AP29" s="21">
        <v>4.9225845799614303E-3</v>
      </c>
      <c r="AQ29" s="21">
        <f t="shared" si="10"/>
        <v>8.409240996852176E-4</v>
      </c>
      <c r="AR29" s="21"/>
      <c r="AS29" s="21"/>
      <c r="AT29" s="21"/>
      <c r="AU29" s="36" t="s">
        <v>68</v>
      </c>
      <c r="AV29" s="38" t="s">
        <v>29</v>
      </c>
      <c r="AW29" s="36" t="s">
        <v>24</v>
      </c>
      <c r="AX29" s="45">
        <v>469000</v>
      </c>
      <c r="AY29" s="37">
        <f>AX29/AX28*AY28</f>
        <v>0.57475490196078438</v>
      </c>
      <c r="AZ29" s="21">
        <v>0.17007360728265</v>
      </c>
      <c r="BA29" s="21">
        <v>3.4872618079261502E-3</v>
      </c>
      <c r="BB29">
        <f t="shared" si="6"/>
        <v>5.9309119521301613E-4</v>
      </c>
    </row>
    <row r="30" spans="1:129">
      <c r="A30" s="34">
        <v>44668</v>
      </c>
      <c r="B30" s="35" t="s">
        <v>60</v>
      </c>
      <c r="C30" s="36" t="s">
        <v>64</v>
      </c>
      <c r="D30" s="38" t="s">
        <v>29</v>
      </c>
      <c r="E30" s="39" t="s">
        <v>22</v>
      </c>
      <c r="F30" s="36"/>
      <c r="G30" s="37"/>
      <c r="H30" s="21">
        <v>0.10916528934169301</v>
      </c>
      <c r="I30" s="21">
        <v>4.99509594114852E-3</v>
      </c>
      <c r="J30">
        <f t="shared" si="7"/>
        <v>5.4529109370499455E-4</v>
      </c>
      <c r="N30" s="36" t="s">
        <v>65</v>
      </c>
      <c r="O30" s="38" t="s">
        <v>29</v>
      </c>
      <c r="P30" s="36" t="s">
        <v>22</v>
      </c>
      <c r="Q30" s="36"/>
      <c r="R30" s="37"/>
      <c r="S30" s="21">
        <v>0.15106658626299599</v>
      </c>
      <c r="T30" s="21">
        <v>8.4751681814315798E-3</v>
      </c>
      <c r="U30" s="21">
        <f t="shared" si="8"/>
        <v>1.2803147251736326E-3</v>
      </c>
      <c r="V30" s="21"/>
      <c r="W30" s="21"/>
      <c r="X30" s="21"/>
      <c r="Y30" s="36" t="s">
        <v>66</v>
      </c>
      <c r="Z30" s="38" t="s">
        <v>29</v>
      </c>
      <c r="AA30" s="36" t="s">
        <v>22</v>
      </c>
      <c r="AB30" s="45"/>
      <c r="AC30" s="37"/>
      <c r="AD30" s="21">
        <v>0.15037373119819999</v>
      </c>
      <c r="AE30" s="21">
        <v>4.5674881315074904E-3</v>
      </c>
      <c r="AF30" s="21">
        <f t="shared" si="9"/>
        <v>6.8683023253827611E-4</v>
      </c>
      <c r="AG30" s="21"/>
      <c r="AH30" s="21"/>
      <c r="AI30" s="21"/>
      <c r="AJ30" s="36" t="s">
        <v>67</v>
      </c>
      <c r="AK30" s="38" t="s">
        <v>29</v>
      </c>
      <c r="AL30" s="36" t="s">
        <v>24</v>
      </c>
      <c r="AM30" s="36"/>
      <c r="AN30" s="37"/>
      <c r="AO30" s="21">
        <v>0.16876461144514501</v>
      </c>
      <c r="AP30" s="21">
        <v>3.9593904653499896E-3</v>
      </c>
      <c r="AQ30" s="21">
        <f t="shared" si="10"/>
        <v>6.6820499344440285E-4</v>
      </c>
      <c r="AR30" s="21"/>
      <c r="AS30" s="21"/>
      <c r="AT30" s="21"/>
      <c r="AU30" s="36" t="s">
        <v>68</v>
      </c>
      <c r="AV30" s="38" t="s">
        <v>29</v>
      </c>
      <c r="AW30" s="36" t="s">
        <v>24</v>
      </c>
      <c r="AX30" s="36"/>
      <c r="AY30" s="37"/>
      <c r="AZ30" s="21">
        <v>0.17017299707108399</v>
      </c>
      <c r="BA30" s="21">
        <v>2.1986963860442499E-3</v>
      </c>
      <c r="BB30">
        <f t="shared" si="6"/>
        <v>3.7415875366251112E-4</v>
      </c>
    </row>
    <row r="31" spans="1:129">
      <c r="A31" s="34">
        <v>44668</v>
      </c>
      <c r="B31" s="69" t="s">
        <v>58</v>
      </c>
      <c r="C31" s="36" t="s">
        <v>64</v>
      </c>
      <c r="D31" s="38" t="s">
        <v>29</v>
      </c>
      <c r="E31" s="39" t="s">
        <v>22</v>
      </c>
      <c r="F31" s="45">
        <v>228000</v>
      </c>
      <c r="G31" s="37">
        <f>F31/F28*G28</f>
        <v>5.7575757575757579E-2</v>
      </c>
      <c r="H31" s="21">
        <v>0.109126862225673</v>
      </c>
      <c r="I31" s="21">
        <v>7.4246527019216496E-3</v>
      </c>
      <c r="J31">
        <f t="shared" si="7"/>
        <v>8.1022905247607468E-4</v>
      </c>
      <c r="N31" s="36" t="s">
        <v>65</v>
      </c>
      <c r="O31" s="38" t="s">
        <v>29</v>
      </c>
      <c r="P31" s="36" t="s">
        <v>22</v>
      </c>
      <c r="Q31" s="45">
        <v>45500</v>
      </c>
      <c r="R31" s="37">
        <f>Q31/Q28*R28</f>
        <v>4.1064981949458484E-2</v>
      </c>
      <c r="S31" s="21">
        <v>0.152152088474208</v>
      </c>
      <c r="T31" s="21">
        <v>5.9653992037501302E-3</v>
      </c>
      <c r="U31" s="21">
        <f t="shared" si="8"/>
        <v>9.076479474329597E-4</v>
      </c>
      <c r="V31" s="21"/>
      <c r="W31" s="21"/>
      <c r="X31" s="21"/>
      <c r="Y31" s="36" t="s">
        <v>66</v>
      </c>
      <c r="Z31" s="38" t="s">
        <v>29</v>
      </c>
      <c r="AA31" s="36" t="s">
        <v>22</v>
      </c>
      <c r="AB31" s="45">
        <v>20800</v>
      </c>
      <c r="AC31" s="37">
        <f>AB31/AB28*AC28</f>
        <v>3.5254237288135586E-2</v>
      </c>
      <c r="AD31" s="21">
        <v>0.15100973322307301</v>
      </c>
      <c r="AE31" s="21">
        <v>7.0306673066036903E-3</v>
      </c>
      <c r="AF31" s="21">
        <f t="shared" si="9"/>
        <v>1.0616991943504046E-3</v>
      </c>
      <c r="AG31" s="21"/>
      <c r="AH31" s="21"/>
      <c r="AI31" s="21"/>
      <c r="AJ31" s="36" t="s">
        <v>67</v>
      </c>
      <c r="AK31" s="38" t="s">
        <v>29</v>
      </c>
      <c r="AL31" s="36" t="s">
        <v>24</v>
      </c>
      <c r="AM31" s="45">
        <v>300000</v>
      </c>
      <c r="AN31" s="37">
        <f>AM31/AM28*AN28</f>
        <v>0.30241935483870969</v>
      </c>
      <c r="AO31" s="21">
        <v>0.17148153110257999</v>
      </c>
      <c r="AP31" s="21">
        <v>3.5866308049730899E-3</v>
      </c>
      <c r="AQ31" s="21">
        <f t="shared" si="10"/>
        <v>6.1504094193646445E-4</v>
      </c>
      <c r="AR31" s="21"/>
      <c r="AS31" s="21"/>
      <c r="AT31" s="21"/>
      <c r="AU31" s="36" t="s">
        <v>68</v>
      </c>
      <c r="AV31" s="38" t="s">
        <v>29</v>
      </c>
      <c r="AW31" s="36" t="s">
        <v>24</v>
      </c>
      <c r="AX31" s="45">
        <v>922000</v>
      </c>
      <c r="AY31" s="37">
        <f>AX31/AX28*AY28</f>
        <v>1.1299019607843137</v>
      </c>
      <c r="AZ31" s="21">
        <v>0.16944265275338299</v>
      </c>
      <c r="BA31" s="21">
        <v>3.2256921086235499E-3</v>
      </c>
      <c r="BB31">
        <f t="shared" si="6"/>
        <v>5.4656982785082793E-4</v>
      </c>
    </row>
    <row r="32" spans="1:129">
      <c r="A32" s="34">
        <v>44668</v>
      </c>
      <c r="B32" s="35" t="s">
        <v>55</v>
      </c>
      <c r="C32" s="36" t="s">
        <v>64</v>
      </c>
      <c r="D32" s="38" t="s">
        <v>29</v>
      </c>
      <c r="E32" s="39" t="s">
        <v>22</v>
      </c>
      <c r="F32" s="36"/>
      <c r="G32" s="37"/>
      <c r="H32" s="21">
        <v>0.107195259897164</v>
      </c>
      <c r="I32" s="21">
        <v>5.8188965356427797E-3</v>
      </c>
      <c r="J32">
        <f t="shared" si="7"/>
        <v>6.2375812645293501E-4</v>
      </c>
      <c r="N32" s="36" t="s">
        <v>65</v>
      </c>
      <c r="O32" s="38" t="s">
        <v>29</v>
      </c>
      <c r="P32" s="36" t="s">
        <v>22</v>
      </c>
      <c r="Q32" s="36"/>
      <c r="R32" s="37"/>
      <c r="S32" s="21">
        <v>0.152543008315317</v>
      </c>
      <c r="T32" s="21">
        <v>4.2023644178769198E-3</v>
      </c>
      <c r="U32" s="21">
        <f t="shared" si="8"/>
        <v>6.4104131034019123E-4</v>
      </c>
      <c r="V32" s="21"/>
      <c r="W32" s="21"/>
      <c r="X32" s="21"/>
      <c r="Y32" s="36" t="s">
        <v>66</v>
      </c>
      <c r="Z32" s="38" t="s">
        <v>29</v>
      </c>
      <c r="AA32" s="36" t="s">
        <v>22</v>
      </c>
      <c r="AB32" s="36"/>
      <c r="AC32" s="37"/>
      <c r="AD32" s="21">
        <v>0.15107654898897799</v>
      </c>
      <c r="AE32" s="21">
        <v>3.4395311876417702E-3</v>
      </c>
      <c r="AF32" s="21">
        <f t="shared" si="9"/>
        <v>5.1963250196887956E-4</v>
      </c>
      <c r="AG32" s="21"/>
      <c r="AH32" s="21"/>
      <c r="AI32" s="21"/>
      <c r="AJ32" s="36" t="s">
        <v>67</v>
      </c>
      <c r="AK32" s="38" t="s">
        <v>29</v>
      </c>
      <c r="AL32" s="36" t="s">
        <v>24</v>
      </c>
      <c r="AM32" s="36"/>
      <c r="AN32" s="37"/>
      <c r="AO32" s="21">
        <v>0.16895550743371501</v>
      </c>
      <c r="AP32" s="21">
        <v>2.28614093469536E-3</v>
      </c>
      <c r="AQ32" s="21">
        <f t="shared" si="10"/>
        <v>3.8625610168644211E-4</v>
      </c>
      <c r="AR32" s="21"/>
      <c r="AS32" s="21"/>
      <c r="AT32" s="21"/>
      <c r="AU32" s="36" t="s">
        <v>68</v>
      </c>
      <c r="AV32" s="38" t="s">
        <v>29</v>
      </c>
      <c r="AW32" s="36" t="s">
        <v>24</v>
      </c>
      <c r="AX32" s="36"/>
      <c r="AY32" s="37"/>
      <c r="AZ32" s="21">
        <v>0.16978105645264899</v>
      </c>
      <c r="BA32" s="21">
        <v>2.1732909686946601E-3</v>
      </c>
      <c r="BB32">
        <f t="shared" si="6"/>
        <v>3.6898363664398029E-4</v>
      </c>
    </row>
    <row r="33" spans="1:129">
      <c r="A33" s="34">
        <v>44668</v>
      </c>
      <c r="B33" s="69" t="s">
        <v>59</v>
      </c>
      <c r="C33" s="36" t="s">
        <v>64</v>
      </c>
      <c r="D33" s="38" t="s">
        <v>29</v>
      </c>
      <c r="E33" s="39" t="s">
        <v>22</v>
      </c>
      <c r="F33" s="36"/>
      <c r="G33" s="37"/>
      <c r="H33" s="21">
        <v>0.109001084190786</v>
      </c>
      <c r="I33" s="21">
        <v>7.20517888625771E-3</v>
      </c>
      <c r="J33">
        <f t="shared" si="7"/>
        <v>7.8537231039065036E-4</v>
      </c>
      <c r="N33" s="36" t="s">
        <v>65</v>
      </c>
      <c r="O33" s="38" t="s">
        <v>29</v>
      </c>
      <c r="P33" s="36" t="s">
        <v>22</v>
      </c>
      <c r="Q33" s="36"/>
      <c r="R33" s="37"/>
      <c r="S33" s="21">
        <v>0.152868320003891</v>
      </c>
      <c r="T33" s="21">
        <v>5.3097357441922498E-3</v>
      </c>
      <c r="U33" s="21">
        <f t="shared" si="8"/>
        <v>8.1169038287927917E-4</v>
      </c>
      <c r="V33" s="21"/>
      <c r="W33" s="21"/>
      <c r="X33" s="21"/>
      <c r="Y33" s="36" t="s">
        <v>66</v>
      </c>
      <c r="Z33" s="38" t="s">
        <v>29</v>
      </c>
      <c r="AA33" s="36" t="s">
        <v>22</v>
      </c>
      <c r="AB33" s="36"/>
      <c r="AC33" s="37"/>
      <c r="AD33" s="21">
        <v>0.151931279086233</v>
      </c>
      <c r="AE33" s="21">
        <v>6.4759385896500698E-3</v>
      </c>
      <c r="AF33" s="21">
        <f t="shared" si="9"/>
        <v>9.8389763320943092E-4</v>
      </c>
      <c r="AG33" s="21"/>
      <c r="AH33" s="21"/>
      <c r="AI33" s="21"/>
      <c r="AJ33" s="36" t="s">
        <v>67</v>
      </c>
      <c r="AK33" s="38" t="s">
        <v>29</v>
      </c>
      <c r="AL33" s="36" t="s">
        <v>24</v>
      </c>
      <c r="AM33" s="36"/>
      <c r="AN33" s="37"/>
      <c r="AO33" s="21">
        <v>0.17001378937408401</v>
      </c>
      <c r="AP33" s="21">
        <v>3.4170763674800401E-3</v>
      </c>
      <c r="AQ33" s="21">
        <f t="shared" si="10"/>
        <v>5.809501018159116E-4</v>
      </c>
      <c r="AR33" s="21"/>
      <c r="AS33" s="21"/>
      <c r="AT33" s="21"/>
      <c r="AU33" s="36" t="s">
        <v>68</v>
      </c>
      <c r="AV33" s="38" t="s">
        <v>29</v>
      </c>
      <c r="AW33" s="36" t="s">
        <v>24</v>
      </c>
      <c r="AX33" s="36"/>
      <c r="AY33" s="37"/>
      <c r="AZ33" s="21">
        <v>0.16992762484811499</v>
      </c>
      <c r="BA33" s="21">
        <v>3.1017128992043399E-3</v>
      </c>
      <c r="BB33">
        <f t="shared" si="6"/>
        <v>5.2706670592255422E-4</v>
      </c>
    </row>
    <row r="34" spans="1:129">
      <c r="A34" s="34">
        <v>44668</v>
      </c>
      <c r="B34" s="35" t="s">
        <v>61</v>
      </c>
      <c r="C34" s="36" t="s">
        <v>64</v>
      </c>
      <c r="D34" s="38" t="s">
        <v>29</v>
      </c>
      <c r="E34" s="39" t="s">
        <v>22</v>
      </c>
      <c r="F34" s="36"/>
      <c r="G34" s="37"/>
      <c r="H34" s="21">
        <v>0.10803553408147</v>
      </c>
      <c r="I34" s="21">
        <v>4.9043377834522396E-3</v>
      </c>
      <c r="J34">
        <f t="shared" si="7"/>
        <v>5.2984275175119546E-4</v>
      </c>
      <c r="N34" s="36" t="s">
        <v>65</v>
      </c>
      <c r="O34" s="38" t="s">
        <v>29</v>
      </c>
      <c r="P34" s="36" t="s">
        <v>22</v>
      </c>
      <c r="Q34" s="36"/>
      <c r="R34" s="37"/>
      <c r="S34" s="21">
        <v>0.14997468709849099</v>
      </c>
      <c r="T34" s="21">
        <v>5.4407083718557899E-3</v>
      </c>
      <c r="U34" s="21">
        <f t="shared" si="8"/>
        <v>8.1596853566321249E-4</v>
      </c>
      <c r="V34" s="21"/>
      <c r="W34" s="21"/>
      <c r="X34" s="21"/>
      <c r="Y34" s="36" t="s">
        <v>66</v>
      </c>
      <c r="Z34" s="38" t="s">
        <v>29</v>
      </c>
      <c r="AA34" s="36" t="s">
        <v>22</v>
      </c>
      <c r="AB34" s="36"/>
      <c r="AC34" s="37"/>
      <c r="AD34" s="21">
        <v>0.15023887942924699</v>
      </c>
      <c r="AE34" s="21">
        <v>4.1365648173455104E-3</v>
      </c>
      <c r="AF34" s="21">
        <f t="shared" si="9"/>
        <v>6.2147286284443726E-4</v>
      </c>
      <c r="AG34" s="21"/>
      <c r="AH34" s="21"/>
      <c r="AI34" s="21"/>
      <c r="AJ34" s="36" t="s">
        <v>67</v>
      </c>
      <c r="AK34" s="38" t="s">
        <v>29</v>
      </c>
      <c r="AL34" s="36" t="s">
        <v>24</v>
      </c>
      <c r="AM34" s="36"/>
      <c r="AN34" s="37"/>
      <c r="AO34" s="21">
        <v>0.17041511238898699</v>
      </c>
      <c r="AP34" s="21">
        <v>3.07875530372086E-3</v>
      </c>
      <c r="AQ34" s="21">
        <f t="shared" si="10"/>
        <v>5.2466643110178016E-4</v>
      </c>
      <c r="AR34" s="21"/>
      <c r="AS34" s="21"/>
      <c r="AT34" s="21"/>
      <c r="AU34" s="36" t="s">
        <v>68</v>
      </c>
      <c r="AV34" s="38" t="s">
        <v>29</v>
      </c>
      <c r="AW34" s="36" t="s">
        <v>24</v>
      </c>
      <c r="AX34" s="36"/>
      <c r="AY34" s="37"/>
      <c r="AZ34" s="21">
        <v>0.16925285077499</v>
      </c>
      <c r="BA34" s="21">
        <v>2.0535389521304601E-3</v>
      </c>
      <c r="BB34">
        <f t="shared" si="6"/>
        <v>3.475673218255661E-4</v>
      </c>
    </row>
    <row r="35" spans="1:129">
      <c r="A35" s="34">
        <v>44668</v>
      </c>
      <c r="B35" s="35" t="s">
        <v>56</v>
      </c>
      <c r="C35" s="36" t="s">
        <v>64</v>
      </c>
      <c r="D35" s="38" t="s">
        <v>29</v>
      </c>
      <c r="E35" s="39" t="s">
        <v>22</v>
      </c>
      <c r="F35" s="36"/>
      <c r="G35" s="37"/>
      <c r="H35" s="21">
        <v>0.108046249371357</v>
      </c>
      <c r="I35" s="21">
        <v>5.8193782115012497E-3</v>
      </c>
      <c r="J35">
        <f t="shared" si="7"/>
        <v>6.2876198942610553E-4</v>
      </c>
      <c r="N35" s="36" t="s">
        <v>65</v>
      </c>
      <c r="O35" s="38" t="s">
        <v>29</v>
      </c>
      <c r="P35" s="36" t="s">
        <v>22</v>
      </c>
      <c r="Q35" s="36"/>
      <c r="R35" s="37"/>
      <c r="S35" s="21">
        <v>0.14938015248803199</v>
      </c>
      <c r="T35" s="21">
        <v>4.1201071973064798E-3</v>
      </c>
      <c r="U35" s="21">
        <f t="shared" si="8"/>
        <v>6.1546224140068004E-4</v>
      </c>
      <c r="V35" s="21"/>
      <c r="W35" s="21"/>
      <c r="X35" s="21"/>
      <c r="Y35" s="36" t="s">
        <v>66</v>
      </c>
      <c r="Z35" s="38" t="s">
        <v>29</v>
      </c>
      <c r="AA35" s="36" t="s">
        <v>22</v>
      </c>
      <c r="AB35" s="36"/>
      <c r="AC35" s="37"/>
      <c r="AD35" s="21">
        <v>0.14941799102602801</v>
      </c>
      <c r="AE35" s="21">
        <v>3.4273474979291101E-3</v>
      </c>
      <c r="AF35" s="21">
        <f t="shared" si="9"/>
        <v>5.1210737768865133E-4</v>
      </c>
      <c r="AG35" s="21"/>
      <c r="AH35" s="21"/>
      <c r="AI35" s="21"/>
      <c r="AJ35" s="36" t="s">
        <v>67</v>
      </c>
      <c r="AK35" s="38" t="s">
        <v>29</v>
      </c>
      <c r="AL35" s="36" t="s">
        <v>24</v>
      </c>
      <c r="AM35" s="36"/>
      <c r="AN35" s="37"/>
      <c r="AO35" s="21">
        <v>0.16997427044125599</v>
      </c>
      <c r="AP35" s="21">
        <v>2.2355140567425899E-3</v>
      </c>
      <c r="AQ35" s="21">
        <f t="shared" si="10"/>
        <v>3.7997987085599427E-4</v>
      </c>
      <c r="AR35" s="21"/>
      <c r="AS35" s="21"/>
      <c r="AT35" s="21"/>
      <c r="AU35" s="36" t="s">
        <v>68</v>
      </c>
      <c r="AV35" s="38" t="s">
        <v>29</v>
      </c>
      <c r="AW35" s="36" t="s">
        <v>24</v>
      </c>
      <c r="AX35" s="36"/>
      <c r="AY35" s="37"/>
      <c r="AZ35" s="21">
        <v>0.16956712648386299</v>
      </c>
      <c r="BA35" s="21">
        <v>2.3626063290896498E-3</v>
      </c>
      <c r="BB35">
        <f t="shared" si="6"/>
        <v>4.0062036623631989E-4</v>
      </c>
    </row>
    <row r="36" spans="1:129">
      <c r="A36" s="34">
        <v>44668</v>
      </c>
      <c r="B36" s="35" t="s">
        <v>52</v>
      </c>
      <c r="C36" s="36" t="s">
        <v>64</v>
      </c>
      <c r="D36" s="38" t="s">
        <v>29</v>
      </c>
      <c r="E36" s="39" t="s">
        <v>23</v>
      </c>
      <c r="F36" s="36"/>
      <c r="G36" s="37"/>
      <c r="H36" s="21">
        <v>0.10972875630071</v>
      </c>
      <c r="I36" s="21">
        <v>4.0654835128986697E-3</v>
      </c>
      <c r="J36">
        <f t="shared" si="7"/>
        <v>4.4610044963141251E-4</v>
      </c>
      <c r="N36" s="36" t="s">
        <v>65</v>
      </c>
      <c r="O36" s="38" t="s">
        <v>29</v>
      </c>
      <c r="P36" s="36" t="s">
        <v>22</v>
      </c>
      <c r="Q36" s="36"/>
      <c r="R36" s="37"/>
      <c r="S36" s="21">
        <v>0.150852672002949</v>
      </c>
      <c r="T36" s="21">
        <v>3.8574247635829598E-3</v>
      </c>
      <c r="U36" s="21">
        <f t="shared" si="8"/>
        <v>5.8190283263683331E-4</v>
      </c>
      <c r="V36" s="21"/>
      <c r="W36" s="21"/>
      <c r="X36" s="21"/>
      <c r="Y36" s="36" t="s">
        <v>66</v>
      </c>
      <c r="Z36" s="38" t="s">
        <v>29</v>
      </c>
      <c r="AA36" s="36" t="s">
        <v>22</v>
      </c>
      <c r="AB36" s="36"/>
      <c r="AC36" s="37"/>
      <c r="AD36" s="21">
        <v>0.15004490955399</v>
      </c>
      <c r="AE36" s="21">
        <v>3.4176521516319199E-3</v>
      </c>
      <c r="AF36" s="21">
        <f t="shared" si="9"/>
        <v>5.1280130797861073E-4</v>
      </c>
      <c r="AG36" s="21"/>
      <c r="AH36" s="21"/>
      <c r="AI36" s="21"/>
      <c r="AJ36" s="36" t="s">
        <v>67</v>
      </c>
      <c r="AK36" s="38" t="s">
        <v>29</v>
      </c>
      <c r="AL36" s="36" t="s">
        <v>24</v>
      </c>
      <c r="AM36" s="36"/>
      <c r="AN36" s="37"/>
      <c r="AO36" s="21">
        <v>0.169320433361726</v>
      </c>
      <c r="AP36" s="21">
        <v>2.09920814527772E-3</v>
      </c>
      <c r="AQ36" s="21">
        <f t="shared" si="10"/>
        <v>3.554388328748886E-4</v>
      </c>
      <c r="AR36" s="21"/>
      <c r="AS36" s="21"/>
      <c r="AT36" s="21"/>
      <c r="AU36" s="36" t="s">
        <v>68</v>
      </c>
      <c r="AV36" s="38" t="s">
        <v>29</v>
      </c>
      <c r="AW36" s="36" t="s">
        <v>24</v>
      </c>
      <c r="AX36" s="36"/>
      <c r="AY36" s="37"/>
      <c r="AZ36" s="21">
        <v>0.170353028844447</v>
      </c>
      <c r="BA36" s="21">
        <v>1.9674635591679802E-3</v>
      </c>
      <c r="BB36">
        <f t="shared" si="6"/>
        <v>3.3516337644534129E-4</v>
      </c>
    </row>
    <row r="37" spans="1:129">
      <c r="A37" s="34"/>
      <c r="B37" s="35"/>
      <c r="C37" s="36"/>
      <c r="D37" s="38"/>
      <c r="E37" s="39"/>
      <c r="F37" s="36"/>
      <c r="G37" s="37"/>
      <c r="H37" s="104"/>
      <c r="I37" s="104"/>
      <c r="J37" s="36"/>
      <c r="N37" s="36"/>
      <c r="O37" s="38"/>
      <c r="P37" s="36"/>
      <c r="Q37" s="36"/>
      <c r="R37" s="37"/>
      <c r="S37" s="21"/>
      <c r="T37" s="21"/>
      <c r="U37" s="21"/>
      <c r="V37" s="21"/>
      <c r="W37" s="21"/>
      <c r="X37" s="21"/>
      <c r="Y37" s="36"/>
      <c r="Z37" s="38"/>
      <c r="AA37" s="36"/>
      <c r="AB37" s="36"/>
      <c r="AC37" s="37"/>
      <c r="AD37" s="21"/>
      <c r="AE37" s="21"/>
      <c r="AF37" s="21"/>
      <c r="AG37" s="21"/>
      <c r="AH37" s="21"/>
      <c r="AI37" s="21"/>
      <c r="AJ37" s="36"/>
      <c r="AK37" s="38"/>
      <c r="AL37" s="36"/>
      <c r="AM37" s="36"/>
      <c r="AN37" s="37"/>
      <c r="AO37" s="21"/>
      <c r="AP37" s="21"/>
      <c r="AQ37" s="21"/>
      <c r="AR37" s="21"/>
      <c r="AS37" s="21"/>
      <c r="AT37" s="21"/>
      <c r="AU37" s="36"/>
      <c r="AV37" s="38"/>
      <c r="AW37" s="36"/>
      <c r="AX37" s="36"/>
      <c r="AY37" s="37"/>
      <c r="AZ37" s="21"/>
      <c r="BA37" s="21"/>
    </row>
    <row r="38" spans="1:129">
      <c r="G38" s="62"/>
      <c r="H38" s="63" t="s">
        <v>96</v>
      </c>
      <c r="I38" s="63" t="s">
        <v>100</v>
      </c>
      <c r="J38" s="1"/>
      <c r="K38" s="1"/>
      <c r="L38" s="1"/>
      <c r="M38" s="1"/>
      <c r="R38" s="62"/>
      <c r="S38" s="63" t="s">
        <v>96</v>
      </c>
      <c r="T38" s="63" t="s">
        <v>100</v>
      </c>
      <c r="U38" s="1"/>
      <c r="V38" s="1"/>
      <c r="W38" s="1"/>
      <c r="X38" s="1"/>
      <c r="AC38" s="62"/>
      <c r="AD38" s="63" t="s">
        <v>96</v>
      </c>
      <c r="AE38" s="63" t="s">
        <v>100</v>
      </c>
      <c r="AF38" s="1"/>
      <c r="AG38" s="1"/>
      <c r="AH38" s="1"/>
      <c r="AI38" s="1"/>
      <c r="AN38" s="62"/>
      <c r="AO38" s="63" t="s">
        <v>96</v>
      </c>
      <c r="AP38" s="63" t="s">
        <v>100</v>
      </c>
      <c r="AQ38" s="1"/>
      <c r="AR38" s="1"/>
      <c r="AS38" s="1"/>
      <c r="AT38" s="1"/>
      <c r="AY38" s="62"/>
      <c r="AZ38" s="63" t="s">
        <v>96</v>
      </c>
      <c r="BA38" s="63" t="s">
        <v>100</v>
      </c>
      <c r="BB38" s="1"/>
    </row>
    <row r="39" spans="1:129">
      <c r="G39" s="63" t="s">
        <v>94</v>
      </c>
      <c r="H39" s="64">
        <f>SUM(H29/I29^2,H31/I31^2,H33/I33^2)/SUM(1/I29^2,1/I31^2,1/I33^2)</f>
        <v>0.10876794281232595</v>
      </c>
      <c r="I39" s="64">
        <f>SQRT(1/SUM(1/I29^2,1/I31^2,1/I33^2))</f>
        <v>4.2582097042318081E-3</v>
      </c>
      <c r="R39" s="63" t="s">
        <v>94</v>
      </c>
      <c r="S39" s="64">
        <f>SUM(S29/T29^2,S31/T31^2,S33/T33^2)/SUM(1/T29^2,1/T31^2,1/T33^2)</f>
        <v>0.15221698398545702</v>
      </c>
      <c r="T39" s="64">
        <f>SQRT(1/SUM(1/T29^2,1/T31^2,1/T33^2))</f>
        <v>3.5332492503972815E-3</v>
      </c>
      <c r="AC39" s="63" t="s">
        <v>94</v>
      </c>
      <c r="AD39" s="64">
        <f>SUM(AD29/AE29^2,AD31/AE31^2,AD33/AE33^2)/SUM(1/AE29^2,1/AE31^2,1/AE33^2)</f>
        <v>0.15154215995587555</v>
      </c>
      <c r="AE39" s="64">
        <f>SQRT(1/SUM(1/AE29^2,1/AE31^2,1/AE33^2))</f>
        <v>4.1552875538222117E-3</v>
      </c>
      <c r="AN39" s="63" t="s">
        <v>94</v>
      </c>
      <c r="AO39" s="64">
        <f>SUM(AO29/AP29^2,AO31/AP31^2,AO33/AP33^2)/SUM(1/AP29^2,1/AP31^2,1/AP33^2)</f>
        <v>0.17073587149461775</v>
      </c>
      <c r="AP39" s="64">
        <f>SQRT(1/SUM(1/AP29^2,1/AP31^2,1/AP33^2))</f>
        <v>2.2105314620429759E-3</v>
      </c>
      <c r="AY39" s="63" t="s">
        <v>94</v>
      </c>
      <c r="AZ39" s="64">
        <f>SUM(AZ29/BA29^2,AZ31/BA31^2,AZ33/BA33^2)/SUM(1/BA29^2,1/BA31^2,1/BA33^2)</f>
        <v>0.1698050340398117</v>
      </c>
      <c r="BA39" s="64">
        <f>SQRT(1/SUM(1/BA29^2,1/BA31^2,1/BA33^2))</f>
        <v>1.8821737590729987E-3</v>
      </c>
    </row>
    <row r="40" spans="1:129">
      <c r="G40" s="63" t="s">
        <v>95</v>
      </c>
      <c r="H40" s="64">
        <f>SUM(H28/I28^2,H30/I30^2,H32/I32^2,H34/I34^2,H35/I35^2)/SUM(1/I28^2,1/I30^2,1/I32^2,1/I34^2,1/I35^2)</f>
        <v>0.10838514663135565</v>
      </c>
      <c r="I40" s="64">
        <f>SQRT(1/SUM(1/I28^2,1/I30^2,1/I32^2,1/I34^2,1/I35^2))</f>
        <v>2.3837790254606478E-3</v>
      </c>
      <c r="R40" s="63" t="s">
        <v>95</v>
      </c>
      <c r="S40" s="64">
        <f>SUM(S28/T28^2,S30/T30^2,S32/T32^2,S34/T34^2,S35/T35^2)/SUM(1/T28^2,1/T30^2,1/T32^2,1/T34^2,1/T35^2)</f>
        <v>0.15040467453627065</v>
      </c>
      <c r="T40" s="64">
        <f>SQRT(1/SUM(1/T28^2,1/T30^2,1/T32^2,1/T34^2,1/T35^2))</f>
        <v>2.1833965064391087E-3</v>
      </c>
      <c r="AC40" s="63" t="s">
        <v>95</v>
      </c>
      <c r="AD40" s="64">
        <f>SUM(AD28/AE28^2,AD30/AE30^2,AD32/AE32^2,AD34/AE34^2,AD35/AE35^2)/SUM(1/AE28^2,1/AE30^2,1/AE32^2,1/AE34^2,1/AE35^2)</f>
        <v>0.15040370168149808</v>
      </c>
      <c r="AE40" s="64">
        <f>SQRT(1/SUM(1/AE28^2,1/AE30^2,1/AE32^2,1/AE34^2,1/AE35^2))</f>
        <v>1.7024318308943675E-3</v>
      </c>
      <c r="AN40" s="63" t="s">
        <v>95</v>
      </c>
      <c r="AO40" s="64">
        <f>SUM(AO28/AP28^2,AO30/AP30^2,AO32/AP32^2,AO34/AP34^2,AO35/AP35^2)/SUM(1/AP28^2,1/AP30^2,1/AP32^2,1/AP34^2,1/AP35^2)</f>
        <v>0.16950359649744268</v>
      </c>
      <c r="AP40" s="64">
        <f>SQRT(1/SUM(1/AP28^2,1/AP30^2,1/AP32^2,1/AP34^2,1/AP35^2))</f>
        <v>1.1820612372760858E-3</v>
      </c>
      <c r="AY40" s="63" t="s">
        <v>95</v>
      </c>
      <c r="AZ40" s="64">
        <f>SUM(AZ28/BA28^2,AZ30/BA30^2,AZ32/BA32^2,AZ34/BA34^2,AZ35/BA35^2)/SUM(1/BA28^2,1/BA30^2,1/BA32^2,1/BA34^2,1/BA35^2)</f>
        <v>0.16953251349909054</v>
      </c>
      <c r="BA40" s="64">
        <f>SQRT(1/SUM(1/BA28^2,1/BA30^2,1/BA32^2,1/BA34^2,1/BA35^2))</f>
        <v>9.6466649012426505E-4</v>
      </c>
    </row>
    <row r="41" spans="1:129">
      <c r="G41" s="65" t="s">
        <v>97</v>
      </c>
      <c r="H41" s="64">
        <f>H39/H40</f>
        <v>1.0035318140249632</v>
      </c>
      <c r="I41" s="64">
        <f>SQRT(I39^2+I40^2)</f>
        <v>4.880036098989439E-3</v>
      </c>
      <c r="R41" s="65" t="s">
        <v>97</v>
      </c>
      <c r="S41" s="64">
        <f>S39/S40</f>
        <v>1.0120495553397799</v>
      </c>
      <c r="T41" s="64">
        <f>SQRT(T39^2+T40^2)</f>
        <v>4.1534408109137003E-3</v>
      </c>
      <c r="AC41" s="65" t="s">
        <v>97</v>
      </c>
      <c r="AD41" s="64">
        <f>AD39/AD40</f>
        <v>1.0075693501000949</v>
      </c>
      <c r="AE41" s="64">
        <f>SQRT(AE39^2+AE40^2)</f>
        <v>4.4905109724609439E-3</v>
      </c>
      <c r="AN41" s="65" t="s">
        <v>97</v>
      </c>
      <c r="AO41" s="64">
        <f>AO39/AO40</f>
        <v>1.0072699047255536</v>
      </c>
      <c r="AP41" s="64">
        <f>SQRT(AP39^2+AP40^2)</f>
        <v>2.5067345518328277E-3</v>
      </c>
      <c r="AY41" s="65" t="s">
        <v>97</v>
      </c>
      <c r="AZ41" s="64">
        <f>AZ39/AZ40</f>
        <v>1.0016074824533443</v>
      </c>
      <c r="BA41" s="64">
        <f>SQRT(BA39^2+BA40^2)</f>
        <v>2.1149845144850712E-3</v>
      </c>
    </row>
    <row r="42" spans="1:129">
      <c r="G42" s="65" t="s">
        <v>99</v>
      </c>
      <c r="H42" s="64">
        <f>(H41-1)*1000</f>
        <v>3.5318140249631647</v>
      </c>
      <c r="I42" s="64">
        <f>I41*1000</f>
        <v>4.8800360989894394</v>
      </c>
      <c r="R42" s="65" t="s">
        <v>99</v>
      </c>
      <c r="S42" s="64">
        <f>(S41-1)*1000</f>
        <v>12.049555339779916</v>
      </c>
      <c r="T42" s="64">
        <f>T41*1000</f>
        <v>4.1534408109137004</v>
      </c>
      <c r="AC42" s="65" t="s">
        <v>99</v>
      </c>
      <c r="AD42" s="64">
        <f>(AD41-1)*1000</f>
        <v>7.5693501000948515</v>
      </c>
      <c r="AE42" s="64">
        <f>AE41*1000</f>
        <v>4.4905109724609442</v>
      </c>
      <c r="AN42" s="65" t="s">
        <v>99</v>
      </c>
      <c r="AO42" s="64">
        <f>(AO41-1)*1000</f>
        <v>7.2699047255535554</v>
      </c>
      <c r="AP42" s="64">
        <f>AP41*1000</f>
        <v>2.5067345518328277</v>
      </c>
      <c r="AY42" s="65" t="s">
        <v>99</v>
      </c>
      <c r="AZ42" s="64">
        <f>(AZ41-1)*1000</f>
        <v>1.6074824533443</v>
      </c>
      <c r="BA42" s="64">
        <f>BA41*1000</f>
        <v>2.1149845144850712</v>
      </c>
    </row>
    <row r="43" spans="1:129">
      <c r="G43" s="65" t="s">
        <v>98</v>
      </c>
      <c r="H43" s="64">
        <f>1000*((((F1/1000)+1)*H41)-1)</f>
        <v>-20.352243148830993</v>
      </c>
      <c r="I43" s="64">
        <f>SQRT(I42^2+G1^2)</f>
        <v>4.9045746326710198</v>
      </c>
      <c r="R43" s="65" t="s">
        <v>98</v>
      </c>
      <c r="S43" s="64">
        <f>1000*((((Q1/1000)+1)*S41)-1)</f>
        <v>-12.644453810510715</v>
      </c>
      <c r="T43" s="64">
        <f>SQRT(T42^2+R1^2)</f>
        <v>4.1910226162314439</v>
      </c>
      <c r="AC43" s="65" t="s">
        <v>98</v>
      </c>
      <c r="AD43" s="64">
        <f>1000*((((AC1/1000)+1)*AD41)-1)</f>
        <v>-16.713071237317468</v>
      </c>
      <c r="AE43" s="64">
        <f>SQRT(AE42^2+AD1^2)</f>
        <v>4.5140102784322647</v>
      </c>
      <c r="AN43" s="65" t="s">
        <v>98</v>
      </c>
      <c r="AO43" s="64">
        <f>1000*((((AN1/1000)+1)*AO41)-1)</f>
        <v>-17.106026968804812</v>
      </c>
      <c r="AP43" s="64">
        <f>SQRT(AP42^2+AO1^2)</f>
        <v>2.5416762408600606</v>
      </c>
      <c r="AY43" s="65" t="s">
        <v>98</v>
      </c>
      <c r="AZ43" s="64">
        <f>1000*((((AX1/1000)+1)*AZ41)-1)</f>
        <v>-23.633026104479924</v>
      </c>
      <c r="BA43" s="64">
        <f>SQRT(BA42^2+AZ1^2)</f>
        <v>2.1149845144850712</v>
      </c>
    </row>
    <row r="45" spans="1:129" ht="29">
      <c r="A45" s="14" t="s">
        <v>47</v>
      </c>
    </row>
    <row r="46" spans="1:129" ht="18" customHeight="1">
      <c r="A46" s="1" t="s">
        <v>18</v>
      </c>
      <c r="B46" s="1" t="s">
        <v>5</v>
      </c>
      <c r="C46" s="2" t="s">
        <v>9</v>
      </c>
      <c r="D46" s="2" t="s">
        <v>27</v>
      </c>
      <c r="E46" s="2" t="s">
        <v>10</v>
      </c>
      <c r="F46" s="2" t="s">
        <v>49</v>
      </c>
      <c r="G46" s="25" t="s">
        <v>51</v>
      </c>
      <c r="H46" s="2" t="s">
        <v>11</v>
      </c>
      <c r="I46" s="2" t="s">
        <v>48</v>
      </c>
      <c r="J46" s="2"/>
      <c r="K46" s="2"/>
      <c r="L46" s="2"/>
      <c r="M46" s="2"/>
      <c r="N46" s="2" t="s">
        <v>9</v>
      </c>
      <c r="O46" s="2" t="s">
        <v>27</v>
      </c>
      <c r="P46" s="2" t="s">
        <v>10</v>
      </c>
      <c r="Q46" s="2" t="s">
        <v>49</v>
      </c>
      <c r="R46" s="25" t="s">
        <v>51</v>
      </c>
      <c r="S46" s="2" t="s">
        <v>11</v>
      </c>
      <c r="T46" s="2" t="s">
        <v>12</v>
      </c>
      <c r="U46" s="2"/>
      <c r="V46" s="2"/>
      <c r="W46" s="2"/>
      <c r="X46" s="2"/>
      <c r="Y46" s="2" t="s">
        <v>9</v>
      </c>
      <c r="Z46" s="2" t="s">
        <v>27</v>
      </c>
      <c r="AA46" s="2" t="s">
        <v>10</v>
      </c>
      <c r="AB46" s="2" t="s">
        <v>49</v>
      </c>
      <c r="AC46" s="25" t="s">
        <v>51</v>
      </c>
      <c r="AD46" s="2" t="s">
        <v>11</v>
      </c>
      <c r="AE46" s="2" t="s">
        <v>12</v>
      </c>
      <c r="AF46" s="2"/>
      <c r="AG46" s="2"/>
      <c r="AH46" s="2"/>
      <c r="AI46" s="2"/>
      <c r="AJ46" s="2" t="s">
        <v>9</v>
      </c>
      <c r="AK46" s="2" t="s">
        <v>27</v>
      </c>
      <c r="AL46" s="2" t="s">
        <v>10</v>
      </c>
      <c r="AM46" s="2" t="s">
        <v>49</v>
      </c>
      <c r="AN46" s="25" t="s">
        <v>51</v>
      </c>
      <c r="AO46" s="2" t="s">
        <v>11</v>
      </c>
      <c r="AP46" s="2" t="s">
        <v>12</v>
      </c>
      <c r="AQ46" s="2"/>
      <c r="AR46" s="2"/>
      <c r="AS46" s="2"/>
      <c r="AT46" s="2"/>
      <c r="AU46" s="2" t="s">
        <v>9</v>
      </c>
      <c r="AV46" s="2" t="s">
        <v>28</v>
      </c>
      <c r="AW46" s="2" t="s">
        <v>10</v>
      </c>
      <c r="AX46" s="2" t="s">
        <v>49</v>
      </c>
      <c r="AY46" s="25" t="s">
        <v>51</v>
      </c>
      <c r="AZ46" s="2" t="s">
        <v>11</v>
      </c>
      <c r="BA46" s="2" t="s">
        <v>12</v>
      </c>
    </row>
    <row r="47" spans="1:129">
      <c r="A47" s="8" t="s">
        <v>19</v>
      </c>
      <c r="B47" s="1"/>
      <c r="C47" s="2"/>
      <c r="D47" s="2"/>
      <c r="E47" s="2"/>
      <c r="F47" s="2"/>
      <c r="G47" s="25"/>
      <c r="H47" s="2"/>
      <c r="I47" s="2"/>
      <c r="J47" s="2"/>
      <c r="K47" s="2"/>
      <c r="L47" s="2"/>
      <c r="M47" s="2"/>
      <c r="N47" s="2"/>
      <c r="O47" s="2"/>
      <c r="P47" s="2"/>
      <c r="Q47" s="2"/>
      <c r="R47" s="25"/>
      <c r="S47" s="2"/>
      <c r="T47" s="2"/>
      <c r="U47" s="2"/>
      <c r="V47" s="2"/>
      <c r="W47" s="2"/>
      <c r="X47" s="2"/>
      <c r="Y47" s="2"/>
      <c r="Z47" s="2"/>
      <c r="AA47" s="2"/>
      <c r="AB47" s="2"/>
      <c r="AC47" s="25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5"/>
      <c r="AO47" s="2"/>
      <c r="AP47" s="2"/>
      <c r="AQ47" s="2"/>
      <c r="AR47" s="2"/>
      <c r="AS47" s="2"/>
      <c r="AT47" s="2"/>
      <c r="AU47" s="2"/>
      <c r="AW47" s="2"/>
      <c r="AX47" s="2"/>
      <c r="AY47" s="25"/>
      <c r="AZ47" s="2"/>
      <c r="BA47" s="2"/>
    </row>
    <row r="48" spans="1:129" s="5" customFormat="1">
      <c r="A48" s="10" t="s">
        <v>25</v>
      </c>
      <c r="B48" s="10"/>
      <c r="C48" s="11"/>
      <c r="D48" s="11"/>
      <c r="E48" s="11"/>
      <c r="F48" s="11"/>
      <c r="G48" s="26"/>
      <c r="H48" s="11"/>
      <c r="I48" s="11"/>
      <c r="J48" s="2"/>
      <c r="K48" s="2"/>
      <c r="L48" s="2"/>
      <c r="M48" s="2"/>
      <c r="N48" s="11"/>
      <c r="O48" s="11"/>
      <c r="P48" s="11"/>
      <c r="Q48" s="11"/>
      <c r="R48" s="26"/>
      <c r="S48" s="11"/>
      <c r="T48" s="11"/>
      <c r="U48"/>
      <c r="V48" s="2"/>
      <c r="W48" s="2"/>
      <c r="X48" s="2"/>
      <c r="Y48" s="11"/>
      <c r="Z48" s="11"/>
      <c r="AA48" s="11"/>
      <c r="AB48" s="11"/>
      <c r="AC48" s="26"/>
      <c r="AD48" s="11"/>
      <c r="AE48" s="11"/>
      <c r="AF48"/>
      <c r="AG48" s="2"/>
      <c r="AH48" s="2"/>
      <c r="AI48" s="2"/>
      <c r="AJ48" s="11"/>
      <c r="AK48" s="11"/>
      <c r="AL48" s="11"/>
      <c r="AM48" s="11"/>
      <c r="AN48" s="26"/>
      <c r="AO48" s="11"/>
      <c r="AP48" s="11"/>
      <c r="AQ48"/>
      <c r="AR48" s="2"/>
      <c r="AS48" s="2"/>
      <c r="AT48" s="2"/>
      <c r="AU48" s="11"/>
      <c r="AV48" s="11"/>
      <c r="AW48" s="11"/>
      <c r="AX48" s="11"/>
      <c r="AY48" s="26"/>
      <c r="AZ48" s="11"/>
      <c r="BA48" s="11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</row>
    <row r="49" spans="1:129" s="5" customFormat="1">
      <c r="A49" s="4">
        <v>44666</v>
      </c>
      <c r="B49" s="5" t="s">
        <v>1</v>
      </c>
      <c r="C49" s="5" t="s">
        <v>13</v>
      </c>
      <c r="D49" s="5" t="s">
        <v>31</v>
      </c>
      <c r="E49" s="5" t="s">
        <v>21</v>
      </c>
      <c r="F49" s="31" t="s">
        <v>29</v>
      </c>
      <c r="G49" s="31" t="s">
        <v>29</v>
      </c>
      <c r="H49" s="21">
        <v>4.3171445610945599E-3</v>
      </c>
      <c r="I49" s="21">
        <v>3.8329366684585003E-2</v>
      </c>
      <c r="J49">
        <f>H49*I49</f>
        <v>1.6547341691255517E-4</v>
      </c>
      <c r="K49"/>
      <c r="L49"/>
      <c r="M49"/>
      <c r="N49" s="5" t="s">
        <v>14</v>
      </c>
      <c r="O49" s="5" t="s">
        <v>32</v>
      </c>
      <c r="P49" s="5" t="s">
        <v>21</v>
      </c>
      <c r="Q49" s="31" t="s">
        <v>29</v>
      </c>
      <c r="R49" s="31" t="s">
        <v>29</v>
      </c>
      <c r="S49" s="21">
        <v>1.0077265059668701E-2</v>
      </c>
      <c r="T49" s="21">
        <v>1.7295997968623401E-2</v>
      </c>
      <c r="U49">
        <f>S49*T49</f>
        <v>1.7429635600130943E-4</v>
      </c>
      <c r="V49" s="21"/>
      <c r="W49" s="21"/>
      <c r="X49" s="21"/>
      <c r="Y49" s="5" t="s">
        <v>15</v>
      </c>
      <c r="Z49" s="5" t="s">
        <v>33</v>
      </c>
      <c r="AA49" s="5" t="s">
        <v>21</v>
      </c>
      <c r="AB49" s="31" t="s">
        <v>29</v>
      </c>
      <c r="AC49" s="31" t="s">
        <v>29</v>
      </c>
      <c r="AD49" s="21">
        <v>1.01286251145649E-2</v>
      </c>
      <c r="AE49" s="21">
        <v>9.0998845878605492E-3</v>
      </c>
      <c r="AF49">
        <f>AD49*AE49</f>
        <v>9.2169319576246425E-5</v>
      </c>
      <c r="AG49" s="21"/>
      <c r="AH49" s="21"/>
      <c r="AI49" s="21"/>
      <c r="AJ49" s="5" t="s">
        <v>16</v>
      </c>
      <c r="AK49" s="5" t="s">
        <v>34</v>
      </c>
      <c r="AL49" s="5" t="s">
        <v>21</v>
      </c>
      <c r="AM49" s="31" t="s">
        <v>29</v>
      </c>
      <c r="AN49" s="31" t="s">
        <v>29</v>
      </c>
      <c r="AO49" s="21">
        <v>1.3050039813314001E-2</v>
      </c>
      <c r="AP49" s="21">
        <v>1.0928721163814799E-2</v>
      </c>
      <c r="AQ49">
        <f>AO49*AP49</f>
        <v>1.4262024629639044E-4</v>
      </c>
      <c r="AR49" s="21"/>
      <c r="AS49" s="21"/>
      <c r="AT49" s="21"/>
      <c r="AU49" s="5" t="s">
        <v>17</v>
      </c>
      <c r="AV49" s="5" t="s">
        <v>35</v>
      </c>
      <c r="AW49" s="5" t="s">
        <v>21</v>
      </c>
      <c r="AX49" s="31" t="s">
        <v>29</v>
      </c>
      <c r="AY49" s="31" t="s">
        <v>29</v>
      </c>
      <c r="AZ49" s="21">
        <v>1.31736202578019E-2</v>
      </c>
      <c r="BA49" s="21">
        <v>1.0717489986075499E-2</v>
      </c>
      <c r="BB49">
        <f>AZ49*BA49</f>
        <v>1.4118814319335319E-4</v>
      </c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</row>
    <row r="50" spans="1:129" s="5" customFormat="1">
      <c r="A50" s="4">
        <v>44666</v>
      </c>
      <c r="B50" s="10" t="s">
        <v>0</v>
      </c>
      <c r="C50" s="5" t="s">
        <v>13</v>
      </c>
      <c r="D50" s="5" t="s">
        <v>31</v>
      </c>
      <c r="E50" s="5" t="s">
        <v>21</v>
      </c>
      <c r="F50" s="31" t="s">
        <v>29</v>
      </c>
      <c r="G50" s="31" t="s">
        <v>29</v>
      </c>
      <c r="H50" s="21">
        <v>4.4758777544332901E-4</v>
      </c>
      <c r="I50" s="21">
        <v>0.38917452329736701</v>
      </c>
      <c r="J50">
        <f t="shared" ref="J50:J59" si="11">H50*I50</f>
        <v>1.7418975914188653E-4</v>
      </c>
      <c r="K50"/>
      <c r="L50"/>
      <c r="M50"/>
      <c r="N50" s="5" t="s">
        <v>14</v>
      </c>
      <c r="O50" s="5" t="s">
        <v>32</v>
      </c>
      <c r="P50" s="5" t="s">
        <v>21</v>
      </c>
      <c r="Q50" s="31" t="s">
        <v>29</v>
      </c>
      <c r="R50" s="31" t="s">
        <v>29</v>
      </c>
      <c r="S50" s="21">
        <v>4.9079634742790897E-4</v>
      </c>
      <c r="T50" s="21">
        <v>0.34007531715751199</v>
      </c>
      <c r="U50">
        <f t="shared" ref="U50:U59" si="12">S50*T50</f>
        <v>1.669077235112946E-4</v>
      </c>
      <c r="V50" s="21"/>
      <c r="W50" s="21"/>
      <c r="X50" s="21"/>
      <c r="Y50" s="5" t="s">
        <v>15</v>
      </c>
      <c r="Z50" s="5" t="s">
        <v>33</v>
      </c>
      <c r="AA50" s="5" t="s">
        <v>21</v>
      </c>
      <c r="AB50" s="31" t="s">
        <v>29</v>
      </c>
      <c r="AC50" s="31" t="s">
        <v>29</v>
      </c>
      <c r="AD50" s="21">
        <v>8.1552465720255798E-4</v>
      </c>
      <c r="AE50" s="21">
        <v>0.162597856976925</v>
      </c>
      <c r="AF50">
        <f t="shared" ref="AF50:AF54" si="13">AD50*AE50</f>
        <v>1.326025615729773E-4</v>
      </c>
      <c r="AG50" s="21"/>
      <c r="AH50" s="21"/>
      <c r="AI50" s="21"/>
      <c r="AJ50" s="5" t="s">
        <v>16</v>
      </c>
      <c r="AK50" s="5" t="s">
        <v>34</v>
      </c>
      <c r="AL50" s="5" t="s">
        <v>21</v>
      </c>
      <c r="AM50" s="31" t="s">
        <v>29</v>
      </c>
      <c r="AN50" s="31" t="s">
        <v>29</v>
      </c>
      <c r="AO50" s="21">
        <v>1.2208561544636501E-2</v>
      </c>
      <c r="AP50" s="21">
        <v>2.9665092025320298E-2</v>
      </c>
      <c r="AQ50">
        <f t="shared" ref="AQ50:AQ59" si="14">AO50*AP50</f>
        <v>3.6216810171842834E-4</v>
      </c>
      <c r="AR50" s="21"/>
      <c r="AS50" s="21"/>
      <c r="AT50" s="21"/>
      <c r="AU50" s="5" t="s">
        <v>17</v>
      </c>
      <c r="AV50" s="5" t="s">
        <v>35</v>
      </c>
      <c r="AW50" s="5" t="s">
        <v>21</v>
      </c>
      <c r="AX50" s="31" t="s">
        <v>29</v>
      </c>
      <c r="AY50" s="31" t="s">
        <v>29</v>
      </c>
      <c r="AZ50" s="21">
        <v>1.2837893291133801E-2</v>
      </c>
      <c r="BA50" s="21">
        <v>1.78425390413255E-2</v>
      </c>
      <c r="BB50">
        <f t="shared" ref="BB50:BB54" si="15">AZ50*BA50</f>
        <v>2.2906061225542554E-4</v>
      </c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</row>
    <row r="51" spans="1:129" s="5" customFormat="1">
      <c r="A51" s="4">
        <v>44666</v>
      </c>
      <c r="B51" s="5" t="s">
        <v>2</v>
      </c>
      <c r="C51" s="5" t="s">
        <v>13</v>
      </c>
      <c r="D51" s="5" t="s">
        <v>31</v>
      </c>
      <c r="E51" s="5" t="s">
        <v>21</v>
      </c>
      <c r="F51" s="31" t="s">
        <v>29</v>
      </c>
      <c r="G51" s="31" t="s">
        <v>29</v>
      </c>
      <c r="H51" s="21">
        <v>3.4491371168539802E-3</v>
      </c>
      <c r="I51" s="21">
        <v>5.57833326567099E-2</v>
      </c>
      <c r="J51">
        <f t="shared" si="11"/>
        <v>1.9240436316807086E-4</v>
      </c>
      <c r="K51"/>
      <c r="L51"/>
      <c r="M51"/>
      <c r="N51" s="5" t="s">
        <v>14</v>
      </c>
      <c r="O51" s="5" t="s">
        <v>32</v>
      </c>
      <c r="P51" s="5" t="s">
        <v>21</v>
      </c>
      <c r="Q51" s="31" t="s">
        <v>29</v>
      </c>
      <c r="R51" s="31" t="s">
        <v>29</v>
      </c>
      <c r="S51" s="21">
        <v>9.1377869807044692E-3</v>
      </c>
      <c r="T51" s="21">
        <v>2.4929972239914101E-2</v>
      </c>
      <c r="U51">
        <f t="shared" si="12"/>
        <v>2.278047757632109E-4</v>
      </c>
      <c r="V51" s="21"/>
      <c r="W51" s="21"/>
      <c r="X51" s="21"/>
      <c r="Y51" s="5" t="s">
        <v>15</v>
      </c>
      <c r="Z51" s="5" t="s">
        <v>33</v>
      </c>
      <c r="AA51" s="5" t="s">
        <v>21</v>
      </c>
      <c r="AB51" s="31" t="s">
        <v>29</v>
      </c>
      <c r="AC51" s="31" t="s">
        <v>29</v>
      </c>
      <c r="AD51" s="21">
        <v>9.5340016286718007E-3</v>
      </c>
      <c r="AE51" s="21">
        <v>1.7325473193176202E-2</v>
      </c>
      <c r="AF51">
        <f t="shared" si="13"/>
        <v>1.6518108964125154E-4</v>
      </c>
      <c r="AG51" s="21"/>
      <c r="AH51" s="21"/>
      <c r="AI51" s="21"/>
      <c r="AJ51" s="5" t="s">
        <v>16</v>
      </c>
      <c r="AK51" s="5" t="s">
        <v>34</v>
      </c>
      <c r="AL51" s="5" t="s">
        <v>21</v>
      </c>
      <c r="AM51" s="31" t="s">
        <v>29</v>
      </c>
      <c r="AN51" s="31" t="s">
        <v>29</v>
      </c>
      <c r="AO51" s="21">
        <v>1.29210476687606E-2</v>
      </c>
      <c r="AP51" s="21">
        <v>1.1815551567737601E-2</v>
      </c>
      <c r="AQ51">
        <f t="shared" si="14"/>
        <v>1.5266930503943658E-4</v>
      </c>
      <c r="AR51" s="21"/>
      <c r="AS51" s="21"/>
      <c r="AT51" s="21"/>
      <c r="AU51" s="5" t="s">
        <v>17</v>
      </c>
      <c r="AV51" s="5" t="s">
        <v>35</v>
      </c>
      <c r="AW51" s="5" t="s">
        <v>21</v>
      </c>
      <c r="AX51" s="31" t="s">
        <v>29</v>
      </c>
      <c r="AY51" s="31" t="s">
        <v>29</v>
      </c>
      <c r="AZ51" s="21">
        <v>1.3025076463353101E-2</v>
      </c>
      <c r="BA51" s="21">
        <v>1.0187075162105199E-2</v>
      </c>
      <c r="BB51">
        <f t="shared" si="15"/>
        <v>1.3268743292434539E-4</v>
      </c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</row>
    <row r="52" spans="1:129" s="5" customFormat="1">
      <c r="A52" s="10" t="s">
        <v>26</v>
      </c>
      <c r="F52" s="31"/>
      <c r="G52" s="31"/>
      <c r="J52"/>
      <c r="K52"/>
      <c r="L52"/>
      <c r="M52"/>
      <c r="Q52" s="31"/>
      <c r="R52" s="31"/>
      <c r="U52"/>
      <c r="V52"/>
      <c r="W52"/>
      <c r="X52"/>
      <c r="AB52" s="31"/>
      <c r="AC52" s="31"/>
      <c r="AF52"/>
      <c r="AG52"/>
      <c r="AH52"/>
      <c r="AI52"/>
      <c r="AM52" s="31"/>
      <c r="AN52" s="31"/>
      <c r="AQ52"/>
      <c r="AR52"/>
      <c r="AS52"/>
      <c r="AT52"/>
      <c r="AX52" s="31"/>
      <c r="AY52" s="31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</row>
    <row r="53" spans="1:129" s="5" customFormat="1">
      <c r="A53" s="4">
        <v>44667</v>
      </c>
      <c r="B53" s="5" t="s">
        <v>4</v>
      </c>
      <c r="C53" s="5" t="s">
        <v>30</v>
      </c>
      <c r="D53" s="5" t="s">
        <v>31</v>
      </c>
      <c r="E53" s="5" t="s">
        <v>21</v>
      </c>
      <c r="F53" s="31" t="s">
        <v>29</v>
      </c>
      <c r="G53" s="31" t="s">
        <v>29</v>
      </c>
      <c r="H53" s="21">
        <v>4.6602772215628601E-3</v>
      </c>
      <c r="I53" s="21">
        <v>3.5937641542705401E-2</v>
      </c>
      <c r="J53">
        <f t="shared" si="11"/>
        <v>1.6747937227816115E-4</v>
      </c>
      <c r="K53"/>
      <c r="L53"/>
      <c r="M53"/>
      <c r="N53" s="5" t="s">
        <v>14</v>
      </c>
      <c r="O53" s="5" t="s">
        <v>32</v>
      </c>
      <c r="P53" s="5" t="s">
        <v>21</v>
      </c>
      <c r="Q53" s="31" t="s">
        <v>29</v>
      </c>
      <c r="R53" s="31" t="s">
        <v>29</v>
      </c>
      <c r="S53" s="21">
        <v>9.7908227157078899E-3</v>
      </c>
      <c r="T53" s="21">
        <v>1.7172636896774E-2</v>
      </c>
      <c r="U53">
        <f t="shared" si="12"/>
        <v>1.6813424341753834E-4</v>
      </c>
      <c r="V53" s="21"/>
      <c r="W53" s="21"/>
      <c r="X53" s="21"/>
      <c r="Y53" s="5" t="s">
        <v>15</v>
      </c>
      <c r="Z53" s="5" t="s">
        <v>33</v>
      </c>
      <c r="AA53" s="5" t="s">
        <v>21</v>
      </c>
      <c r="AB53" s="31" t="s">
        <v>29</v>
      </c>
      <c r="AC53" s="31" t="s">
        <v>29</v>
      </c>
      <c r="AD53" s="21">
        <v>1.01717126067298E-2</v>
      </c>
      <c r="AE53" s="21">
        <v>9.4001892922236496E-3</v>
      </c>
      <c r="AF53">
        <f t="shared" si="13"/>
        <v>9.5616023929357764E-5</v>
      </c>
      <c r="AG53" s="21"/>
      <c r="AH53" s="21"/>
      <c r="AI53" s="21"/>
      <c r="AJ53" s="5" t="s">
        <v>16</v>
      </c>
      <c r="AK53" s="5" t="s">
        <v>34</v>
      </c>
      <c r="AL53" s="5" t="s">
        <v>21</v>
      </c>
      <c r="AM53" s="31" t="s">
        <v>29</v>
      </c>
      <c r="AN53" s="31" t="s">
        <v>29</v>
      </c>
      <c r="AO53" s="21">
        <v>1.27828525366445E-2</v>
      </c>
      <c r="AP53" s="21">
        <v>1.07605569798434E-2</v>
      </c>
      <c r="AQ53">
        <f t="shared" si="14"/>
        <v>1.3755061308549888E-4</v>
      </c>
      <c r="AR53" s="21"/>
      <c r="AS53" s="21"/>
      <c r="AT53" s="21"/>
      <c r="AU53" s="5" t="s">
        <v>17</v>
      </c>
      <c r="AV53" s="5" t="s">
        <v>35</v>
      </c>
      <c r="AW53" s="5" t="s">
        <v>21</v>
      </c>
      <c r="AX53" s="31" t="s">
        <v>29</v>
      </c>
      <c r="AY53" s="31" t="s">
        <v>29</v>
      </c>
      <c r="AZ53" s="21">
        <v>1.2980442633696101E-2</v>
      </c>
      <c r="BA53" s="21">
        <v>1.02714076936218E-2</v>
      </c>
      <c r="BB53">
        <f t="shared" si="15"/>
        <v>1.3332741833436255E-4</v>
      </c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</row>
    <row r="54" spans="1:129" s="5" customFormat="1">
      <c r="A54" s="4">
        <v>44667</v>
      </c>
      <c r="B54" s="5" t="s">
        <v>3</v>
      </c>
      <c r="C54" s="5" t="s">
        <v>30</v>
      </c>
      <c r="D54" s="5" t="s">
        <v>31</v>
      </c>
      <c r="E54" s="5" t="s">
        <v>21</v>
      </c>
      <c r="F54" s="31" t="s">
        <v>29</v>
      </c>
      <c r="G54" s="31" t="s">
        <v>29</v>
      </c>
      <c r="H54" s="21">
        <v>1.70605169894492E-3</v>
      </c>
      <c r="I54" s="21">
        <v>9.5907223485274196E-2</v>
      </c>
      <c r="J54">
        <f t="shared" si="11"/>
        <v>1.6362268156814219E-4</v>
      </c>
      <c r="K54"/>
      <c r="L54"/>
      <c r="M54"/>
      <c r="N54" s="5" t="s">
        <v>14</v>
      </c>
      <c r="O54" s="5" t="s">
        <v>32</v>
      </c>
      <c r="P54" s="5" t="s">
        <v>21</v>
      </c>
      <c r="Q54" s="31" t="s">
        <v>29</v>
      </c>
      <c r="R54" s="31" t="s">
        <v>29</v>
      </c>
      <c r="S54" s="21">
        <v>1.0228483463556899E-2</v>
      </c>
      <c r="T54" s="21">
        <v>3.1715742666523702E-2</v>
      </c>
      <c r="U54">
        <f t="shared" si="12"/>
        <v>3.2440394939896371E-4</v>
      </c>
      <c r="V54" s="21"/>
      <c r="W54" s="21"/>
      <c r="X54" s="21"/>
      <c r="Y54" s="5" t="s">
        <v>15</v>
      </c>
      <c r="Z54" s="5" t="s">
        <v>33</v>
      </c>
      <c r="AA54" s="5" t="s">
        <v>21</v>
      </c>
      <c r="AB54" s="31" t="s">
        <v>29</v>
      </c>
      <c r="AC54" s="31" t="s">
        <v>29</v>
      </c>
      <c r="AD54" s="21">
        <v>8.5088323363791806E-3</v>
      </c>
      <c r="AE54" s="21">
        <v>2.1230791957623198E-2</v>
      </c>
      <c r="AF54">
        <f t="shared" si="13"/>
        <v>1.8064924913596331E-4</v>
      </c>
      <c r="AG54" s="21"/>
      <c r="AH54" s="21"/>
      <c r="AI54" s="21"/>
      <c r="AJ54" s="5" t="s">
        <v>16</v>
      </c>
      <c r="AK54" s="5" t="s">
        <v>34</v>
      </c>
      <c r="AL54" s="5" t="s">
        <v>21</v>
      </c>
      <c r="AM54" s="31" t="s">
        <v>29</v>
      </c>
      <c r="AN54" s="31" t="s">
        <v>29</v>
      </c>
      <c r="AO54" s="21">
        <v>1.2866468232211299E-2</v>
      </c>
      <c r="AP54" s="21">
        <v>1.1851981919739E-2</v>
      </c>
      <c r="AQ54">
        <f t="shared" si="14"/>
        <v>1.5249314885906453E-4</v>
      </c>
      <c r="AR54" s="21"/>
      <c r="AS54" s="21"/>
      <c r="AT54" s="21"/>
      <c r="AU54" s="5" t="s">
        <v>17</v>
      </c>
      <c r="AV54" s="5" t="s">
        <v>35</v>
      </c>
      <c r="AW54" s="5" t="s">
        <v>21</v>
      </c>
      <c r="AX54" s="31" t="s">
        <v>29</v>
      </c>
      <c r="AY54" s="31" t="s">
        <v>29</v>
      </c>
      <c r="AZ54" s="21">
        <v>1.3440642350663201E-2</v>
      </c>
      <c r="BA54" s="21">
        <v>9.5660209332711806E-3</v>
      </c>
      <c r="BB54">
        <f t="shared" si="15"/>
        <v>1.2857346608305533E-4</v>
      </c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</row>
    <row r="55" spans="1:129">
      <c r="A55" s="3"/>
      <c r="F55" s="32"/>
      <c r="G55" s="32"/>
      <c r="Q55" s="32"/>
      <c r="R55" s="32"/>
      <c r="AB55" s="32"/>
      <c r="AC55" s="32"/>
      <c r="AM55" s="32"/>
      <c r="AN55" s="32"/>
      <c r="AX55" s="32"/>
      <c r="AY55" s="32"/>
    </row>
    <row r="56" spans="1:129">
      <c r="A56" s="9" t="s">
        <v>20</v>
      </c>
      <c r="F56" s="32"/>
      <c r="G56" s="32"/>
      <c r="Q56" s="32"/>
      <c r="R56" s="32"/>
      <c r="AB56" s="32"/>
      <c r="AC56" s="32"/>
      <c r="AM56" s="32"/>
      <c r="AN56" s="32"/>
      <c r="AX56" s="32"/>
      <c r="AY56" s="32"/>
    </row>
    <row r="57" spans="1:129" s="7" customFormat="1">
      <c r="A57" s="6">
        <v>44667</v>
      </c>
      <c r="B57" s="7" t="s">
        <v>6</v>
      </c>
      <c r="C57" s="7" t="s">
        <v>36</v>
      </c>
      <c r="D57" s="12" t="s">
        <v>29</v>
      </c>
      <c r="E57" s="7" t="s">
        <v>23</v>
      </c>
      <c r="F57" s="12" t="s">
        <v>29</v>
      </c>
      <c r="G57" s="12" t="s">
        <v>29</v>
      </c>
      <c r="H57" s="21">
        <v>5.1325945055104997E-3</v>
      </c>
      <c r="I57" s="21">
        <v>2.5018259823444501E-2</v>
      </c>
      <c r="J57">
        <f t="shared" si="11"/>
        <v>1.2840858290724533E-4</v>
      </c>
      <c r="K57"/>
      <c r="L57"/>
      <c r="M57"/>
      <c r="N57" s="7" t="s">
        <v>37</v>
      </c>
      <c r="O57" s="12" t="s">
        <v>29</v>
      </c>
      <c r="P57" s="7" t="s">
        <v>22</v>
      </c>
      <c r="Q57" s="12" t="s">
        <v>29</v>
      </c>
      <c r="R57" s="12" t="s">
        <v>29</v>
      </c>
      <c r="S57" s="21">
        <v>9.6755646312312506E-3</v>
      </c>
      <c r="T57" s="21">
        <v>2.12301598412938E-2</v>
      </c>
      <c r="U57">
        <f t="shared" si="12"/>
        <v>2.0541378367580835E-4</v>
      </c>
      <c r="V57" s="21"/>
      <c r="W57" s="21"/>
      <c r="X57" s="21"/>
      <c r="Y57" s="7" t="s">
        <v>38</v>
      </c>
      <c r="Z57" s="12" t="s">
        <v>29</v>
      </c>
      <c r="AA57" s="7" t="s">
        <v>22</v>
      </c>
      <c r="AB57" s="12" t="s">
        <v>29</v>
      </c>
      <c r="AC57" s="12" t="s">
        <v>29</v>
      </c>
      <c r="AD57" s="21">
        <v>9.2843300060589003E-3</v>
      </c>
      <c r="AE57" s="21">
        <v>1.7058798531357101E-2</v>
      </c>
      <c r="AF57" s="21"/>
      <c r="AG57" s="21"/>
      <c r="AH57" s="21"/>
      <c r="AI57" s="21"/>
      <c r="AJ57" s="7" t="s">
        <v>39</v>
      </c>
      <c r="AK57" s="12" t="s">
        <v>29</v>
      </c>
      <c r="AL57" s="7" t="s">
        <v>21</v>
      </c>
      <c r="AM57" s="12" t="s">
        <v>29</v>
      </c>
      <c r="AN57" s="12" t="s">
        <v>29</v>
      </c>
      <c r="AO57" s="21">
        <v>1.27451977724175E-2</v>
      </c>
      <c r="AP57" s="21">
        <v>1.09805001063188E-2</v>
      </c>
      <c r="AQ57">
        <f t="shared" si="14"/>
        <v>1.3994864549508448E-4</v>
      </c>
      <c r="AR57" s="21"/>
      <c r="AS57" s="21"/>
      <c r="AT57" s="21"/>
      <c r="AU57" s="7" t="s">
        <v>40</v>
      </c>
      <c r="AV57" s="12" t="s">
        <v>29</v>
      </c>
      <c r="AW57" s="7" t="s">
        <v>21</v>
      </c>
      <c r="AX57" s="12" t="s">
        <v>29</v>
      </c>
      <c r="AY57" s="12" t="s">
        <v>29</v>
      </c>
      <c r="AZ57" s="21">
        <v>1.26394995872109E-2</v>
      </c>
      <c r="BA57" s="21">
        <v>6.9177033667174896E-3</v>
      </c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</row>
    <row r="58" spans="1:129" s="7" customFormat="1">
      <c r="A58" s="6">
        <v>44667</v>
      </c>
      <c r="B58" s="70" t="s">
        <v>7</v>
      </c>
      <c r="C58" s="7" t="s">
        <v>36</v>
      </c>
      <c r="D58" s="12" t="s">
        <v>29</v>
      </c>
      <c r="E58" s="7" t="s">
        <v>22</v>
      </c>
      <c r="F58" s="12" t="s">
        <v>29</v>
      </c>
      <c r="G58" s="12" t="s">
        <v>29</v>
      </c>
      <c r="H58" s="21">
        <v>3.7973876056319601E-3</v>
      </c>
      <c r="I58" s="21">
        <v>3.8784607224700202E-2</v>
      </c>
      <c r="J58">
        <f t="shared" si="11"/>
        <v>1.4728018676438031E-4</v>
      </c>
      <c r="K58"/>
      <c r="L58"/>
      <c r="M58"/>
      <c r="N58" s="7" t="s">
        <v>37</v>
      </c>
      <c r="O58" s="12" t="s">
        <v>29</v>
      </c>
      <c r="P58" s="7" t="s">
        <v>22</v>
      </c>
      <c r="Q58" s="12" t="s">
        <v>29</v>
      </c>
      <c r="R58" s="12" t="s">
        <v>29</v>
      </c>
      <c r="S58" s="21">
        <v>1.0046109272974099E-2</v>
      </c>
      <c r="T58" s="21">
        <v>1.6974447511621499E-2</v>
      </c>
      <c r="U58">
        <f t="shared" si="12"/>
        <v>1.7052715455011285E-4</v>
      </c>
      <c r="V58" s="21"/>
      <c r="W58" s="21"/>
      <c r="X58" s="21"/>
      <c r="Y58" s="7" t="s">
        <v>38</v>
      </c>
      <c r="Z58" s="12" t="s">
        <v>29</v>
      </c>
      <c r="AA58" s="7" t="s">
        <v>22</v>
      </c>
      <c r="AB58" s="12" t="s">
        <v>29</v>
      </c>
      <c r="AC58" s="12" t="s">
        <v>29</v>
      </c>
      <c r="AD58" s="21">
        <v>1.0328288567804701E-2</v>
      </c>
      <c r="AE58" s="21">
        <v>1.7351942216342099E-2</v>
      </c>
      <c r="AF58" s="21"/>
      <c r="AG58" s="21"/>
      <c r="AH58" s="21"/>
      <c r="AI58" s="21"/>
      <c r="AJ58" s="7" t="s">
        <v>39</v>
      </c>
      <c r="AK58" s="12" t="s">
        <v>29</v>
      </c>
      <c r="AL58" s="7" t="s">
        <v>24</v>
      </c>
      <c r="AM58" s="12" t="s">
        <v>29</v>
      </c>
      <c r="AN58" s="12" t="s">
        <v>29</v>
      </c>
      <c r="AO58" s="21">
        <v>1.32534408808491E-2</v>
      </c>
      <c r="AP58" s="21">
        <v>1.0088752256041399E-2</v>
      </c>
      <c r="AQ58">
        <f t="shared" si="14"/>
        <v>1.3371068158697766E-4</v>
      </c>
      <c r="AR58" s="21"/>
      <c r="AS58" s="21"/>
      <c r="AT58" s="21"/>
      <c r="AU58" s="7" t="s">
        <v>40</v>
      </c>
      <c r="AV58" s="12" t="s">
        <v>29</v>
      </c>
      <c r="AW58" s="7" t="s">
        <v>24</v>
      </c>
      <c r="AX58" s="12" t="s">
        <v>29</v>
      </c>
      <c r="AY58" s="12" t="s">
        <v>29</v>
      </c>
      <c r="AZ58" s="21">
        <v>1.2808129251390099E-2</v>
      </c>
      <c r="BA58" s="21">
        <v>1.0284036743749199E-2</v>
      </c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</row>
    <row r="59" spans="1:129" s="7" customFormat="1">
      <c r="A59" s="6">
        <v>44667</v>
      </c>
      <c r="B59" s="7" t="s">
        <v>8</v>
      </c>
      <c r="C59" s="7" t="s">
        <v>36</v>
      </c>
      <c r="D59" s="12" t="s">
        <v>29</v>
      </c>
      <c r="E59" s="7" t="s">
        <v>22</v>
      </c>
      <c r="F59" s="12" t="s">
        <v>29</v>
      </c>
      <c r="G59" s="12" t="s">
        <v>29</v>
      </c>
      <c r="H59" s="21">
        <v>4.5392387391668901E-3</v>
      </c>
      <c r="I59" s="21">
        <v>2.3902601901748501E-2</v>
      </c>
      <c r="J59">
        <f t="shared" si="11"/>
        <v>1.0849961651930098E-4</v>
      </c>
      <c r="K59"/>
      <c r="L59"/>
      <c r="M59"/>
      <c r="N59" s="7" t="s">
        <v>37</v>
      </c>
      <c r="O59" s="12" t="s">
        <v>29</v>
      </c>
      <c r="P59" s="7" t="s">
        <v>22</v>
      </c>
      <c r="Q59" s="12" t="s">
        <v>29</v>
      </c>
      <c r="R59" s="12" t="s">
        <v>29</v>
      </c>
      <c r="S59" s="21">
        <v>1.01684196989155E-2</v>
      </c>
      <c r="T59" s="21">
        <v>2.06362036199218E-2</v>
      </c>
      <c r="U59">
        <f t="shared" si="12"/>
        <v>2.0983757939964419E-4</v>
      </c>
      <c r="V59" s="21"/>
      <c r="W59" s="21"/>
      <c r="X59" s="21"/>
      <c r="Y59" s="7" t="s">
        <v>38</v>
      </c>
      <c r="Z59" s="12" t="s">
        <v>29</v>
      </c>
      <c r="AA59" s="7" t="s">
        <v>22</v>
      </c>
      <c r="AB59" s="12" t="s">
        <v>29</v>
      </c>
      <c r="AC59" s="12" t="s">
        <v>29</v>
      </c>
      <c r="AD59" s="21">
        <v>9.6287512304613094E-3</v>
      </c>
      <c r="AE59" s="21">
        <v>1.3714540931614E-2</v>
      </c>
      <c r="AF59" s="21"/>
      <c r="AG59" s="21"/>
      <c r="AH59" s="21"/>
      <c r="AI59" s="21"/>
      <c r="AJ59" s="7" t="s">
        <v>39</v>
      </c>
      <c r="AK59" s="12" t="s">
        <v>29</v>
      </c>
      <c r="AL59" s="7" t="s">
        <v>24</v>
      </c>
      <c r="AM59" s="12" t="s">
        <v>29</v>
      </c>
      <c r="AN59" s="12" t="s">
        <v>29</v>
      </c>
      <c r="AO59" s="21">
        <v>1.27297893374301E-2</v>
      </c>
      <c r="AP59" s="21">
        <v>7.9067926868626303E-3</v>
      </c>
      <c r="AQ59">
        <f t="shared" si="14"/>
        <v>1.0065180523849419E-4</v>
      </c>
      <c r="AR59" s="21"/>
      <c r="AS59" s="21"/>
      <c r="AT59" s="21"/>
      <c r="AU59" s="7" t="s">
        <v>40</v>
      </c>
      <c r="AV59" s="12" t="s">
        <v>29</v>
      </c>
      <c r="AW59" s="7" t="s">
        <v>24</v>
      </c>
      <c r="AX59" s="12" t="s">
        <v>29</v>
      </c>
      <c r="AY59" s="12" t="s">
        <v>29</v>
      </c>
      <c r="AZ59" s="21">
        <v>1.2519838541036299E-2</v>
      </c>
      <c r="BA59" s="21">
        <v>6.5611314087363499E-3</v>
      </c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</row>
    <row r="60" spans="1:129">
      <c r="G60" s="62"/>
      <c r="H60" s="63" t="s">
        <v>96</v>
      </c>
      <c r="I60" s="63" t="s">
        <v>100</v>
      </c>
      <c r="R60" s="62"/>
      <c r="S60" s="63" t="s">
        <v>96</v>
      </c>
      <c r="T60" s="63" t="s">
        <v>100</v>
      </c>
      <c r="AC60" s="62"/>
      <c r="AD60" s="63" t="s">
        <v>96</v>
      </c>
      <c r="AE60" s="63" t="s">
        <v>100</v>
      </c>
      <c r="AN60" s="62"/>
      <c r="AO60" s="63" t="s">
        <v>96</v>
      </c>
      <c r="AP60" s="63" t="s">
        <v>100</v>
      </c>
      <c r="AY60" s="62"/>
      <c r="AZ60" s="63" t="s">
        <v>96</v>
      </c>
      <c r="BA60" s="63" t="s">
        <v>100</v>
      </c>
    </row>
    <row r="61" spans="1:129">
      <c r="A61" t="s">
        <v>105</v>
      </c>
      <c r="G61" s="63" t="s">
        <v>94</v>
      </c>
      <c r="H61" s="67">
        <f>SUM(H50/I50^2,H58/I58^2)/SUM(1/I50^2,1/I58^2)</f>
        <v>3.7644450885184325E-3</v>
      </c>
      <c r="I61" s="67">
        <f>SQRT(1/SUM(1/I50^2,1/I58^2))</f>
        <v>3.8593428739033549E-2</v>
      </c>
      <c r="R61" s="63" t="s">
        <v>94</v>
      </c>
      <c r="S61" s="67">
        <f>SUM(S50/T50^2,S58/T58^2)/SUM(1/T50^2,1/T58^2)</f>
        <v>1.0022362459752502E-2</v>
      </c>
      <c r="T61" s="67">
        <f>SQRT(1/SUM(1/T50^2,1/T58^2))</f>
        <v>1.6953341986972296E-2</v>
      </c>
      <c r="AC61" s="63" t="s">
        <v>94</v>
      </c>
      <c r="AD61" s="67">
        <f>SUM(AD50/AE50^2,AD58/AE58^2)/SUM(1/AE50^2,1/AE58^2)</f>
        <v>1.0221172343037146E-2</v>
      </c>
      <c r="AE61" s="67">
        <f>SQRT(1/SUM(1/AE50^2,1/AE58^2))</f>
        <v>1.7253971925127159E-2</v>
      </c>
      <c r="AN61" s="63" t="s">
        <v>94</v>
      </c>
      <c r="AO61" s="67">
        <f>SUM(AO50/AP50^2,AO58/AP58^2)/SUM(1/AP50^2,1/AP58^2)</f>
        <v>1.3145118609186856E-2</v>
      </c>
      <c r="AP61" s="67">
        <f>SQRT(1/SUM(1/AP50^2,1/AP58^2))</f>
        <v>9.5514984430743362E-3</v>
      </c>
      <c r="AY61" s="63" t="s">
        <v>94</v>
      </c>
      <c r="AZ61" s="67">
        <f>SUM(AZ50/BA50^2,AZ58/BA58^2)/SUM(1/BA50^2,1/BA58^2)</f>
        <v>1.2815551454051676E-2</v>
      </c>
      <c r="BA61" s="67">
        <f>SQRT(1/SUM(1/BA50^2,1/BA58^2))</f>
        <v>8.9099880603007199E-3</v>
      </c>
    </row>
    <row r="62" spans="1:129">
      <c r="G62" s="63" t="s">
        <v>95</v>
      </c>
      <c r="H62" s="67">
        <f>SUM(H49/I49^2,H51/I51^2,H53/I53^2,H54/I54^2,H57/I57^2,H59/I59^2)/SUM(1/I49^2,1/I51^2,1/I53^2,1/I54^2,1/I57^2,1/I59^2)</f>
        <v>4.5836109873577269E-3</v>
      </c>
      <c r="I62" s="67">
        <f>SQRT(1/SUM(1/I49^2,1/I51^2,1/I53^2,1/I54^2,1/I57^2,1/I59^2))</f>
        <v>1.3823729826160484E-2</v>
      </c>
      <c r="R62" s="63" t="s">
        <v>95</v>
      </c>
      <c r="S62" s="67">
        <f>SUM(S49/T49^2,S51/T51^2,S53/T53^2,S54/T54^2,S57/T57^2,S59/T59^2)/SUM(1/T49^2,1/T51^2,1/T53^2,1/T54^2,1/T57^2,1/T59^2)</f>
        <v>9.8607921855325738E-3</v>
      </c>
      <c r="T62" s="67">
        <f>SQRT(1/SUM(1/T49^2,1/T51^2,1/T53^2,1/T54^2,1/T57^2,1/T59^2))</f>
        <v>8.4807229286940553E-3</v>
      </c>
      <c r="AC62" s="63" t="s">
        <v>95</v>
      </c>
      <c r="AD62" s="67">
        <f>SUM(AD49/AE49^2,AD51/AE51^2,AD53/AE53^2,AD54/AE54^2,AD57/AE57^2,AD59/AE59^2)/SUM(1/AE49^2,1/AE51^2,1/AE53^2,1/AE54^2,1/AE57^2,1/AE59^2)</f>
        <v>9.8462110932273795E-3</v>
      </c>
      <c r="AE62" s="67">
        <f>SQRT(1/SUM(1/AE49^2,1/AE51^2,1/AE53^2,1/AE54^2,1/AE57^2,1/AE59^2))</f>
        <v>5.1505333919417123E-3</v>
      </c>
      <c r="AN62" s="63" t="s">
        <v>95</v>
      </c>
      <c r="AO62" s="67">
        <f>SUM(AO49/AP49^2,AO51/AP51^2,AO53/AP53^2,AO54/AP54^2,AO57/AP57^2,AO59/AP59^2)/SUM(1/AP49^2,1/AP51^2,1/AP53^2,1/AP54^2,1/AP57^2,1/AP59^2)</f>
        <v>1.2830731421147058E-2</v>
      </c>
      <c r="AP62" s="67">
        <f>SQRT(1/SUM(1/AP49^2,1/AP51^2,1/AP53^2,1/AP54^2,1/AP57^2,1/AP59^2))</f>
        <v>4.2416959404858335E-3</v>
      </c>
      <c r="AY62" s="63" t="s">
        <v>95</v>
      </c>
      <c r="AZ62" s="67">
        <f>SUM(AZ49/BA49^2,AZ51/BA51^2,AZ53/BA53^2,AZ54/BA54^2,AZ57/BA57^2,AZ59/BA59^2)/SUM(1/BA49^2,1/BA51^2,1/BA53^2,1/BA54^2,1/BA57^2,1/BA59^2)</f>
        <v>1.2851533287675342E-2</v>
      </c>
      <c r="BA62" s="67">
        <f>SQRT(1/SUM(1/BA49^2,1/BA51^2,1/BA53^2,1/BA54^2,1/BA57^2,1/BA59^2))</f>
        <v>3.4736739018233023E-3</v>
      </c>
    </row>
    <row r="63" spans="1:129">
      <c r="G63" s="65" t="s">
        <v>97</v>
      </c>
      <c r="H63" s="67">
        <f>H61/H62</f>
        <v>0.82128372126284832</v>
      </c>
      <c r="I63" s="67">
        <f>SQRT(I61^2+I62^2)</f>
        <v>4.0994490460811189E-2</v>
      </c>
      <c r="R63" s="65" t="s">
        <v>97</v>
      </c>
      <c r="S63" s="67">
        <f>S61/S62</f>
        <v>1.016385121111971</v>
      </c>
      <c r="T63" s="67">
        <f>SQRT(T61^2+T62^2)</f>
        <v>1.895622499129283E-2</v>
      </c>
      <c r="AC63" s="65" t="s">
        <v>97</v>
      </c>
      <c r="AD63" s="67">
        <f>AD61/AD62</f>
        <v>1.0380817805203952</v>
      </c>
      <c r="AE63" s="67">
        <f>SQRT(AE61^2+AE62^2)</f>
        <v>1.8006319485519041E-2</v>
      </c>
      <c r="AN63" s="65" t="s">
        <v>97</v>
      </c>
      <c r="AO63" s="67">
        <f>AO61/AO62</f>
        <v>1.0245026707925349</v>
      </c>
      <c r="AP63" s="67">
        <f>SQRT(AP61^2+AP62^2)</f>
        <v>1.0450985932417356E-2</v>
      </c>
      <c r="AY63" s="65" t="s">
        <v>97</v>
      </c>
      <c r="AZ63" s="67">
        <f>AZ61/AZ62</f>
        <v>0.9972001913843096</v>
      </c>
      <c r="BA63" s="67">
        <f>SQRT(BA61^2+BA62^2)</f>
        <v>9.56317403433137E-3</v>
      </c>
    </row>
    <row r="64" spans="1:129">
      <c r="G64" s="65" t="s">
        <v>99</v>
      </c>
      <c r="H64" s="67">
        <f>1000*(H63-1)</f>
        <v>-178.71627873715167</v>
      </c>
      <c r="I64" s="67">
        <f>I63*1000</f>
        <v>40.994490460811193</v>
      </c>
      <c r="R64" s="65" t="s">
        <v>99</v>
      </c>
      <c r="S64" s="67">
        <f>1000*(S63-1)</f>
        <v>16.385121111970989</v>
      </c>
      <c r="T64" s="67">
        <f>T63*1000</f>
        <v>18.956224991292828</v>
      </c>
      <c r="AC64" s="65" t="s">
        <v>99</v>
      </c>
      <c r="AD64" s="67">
        <f>1000*(AD63-1)</f>
        <v>38.081780520395235</v>
      </c>
      <c r="AE64" s="67">
        <f>AE63*1000</f>
        <v>18.006319485519043</v>
      </c>
      <c r="AN64" s="65" t="s">
        <v>99</v>
      </c>
      <c r="AO64" s="67">
        <f>1000*(AO63-1)</f>
        <v>24.502670792534875</v>
      </c>
      <c r="AP64" s="67">
        <f>AP63*1000</f>
        <v>10.450985932417357</v>
      </c>
      <c r="AY64" s="65" t="s">
        <v>99</v>
      </c>
      <c r="AZ64" s="67">
        <f>1000*(AZ63-1)</f>
        <v>-2.7998086156904023</v>
      </c>
      <c r="BA64" s="67">
        <f>BA63*1000</f>
        <v>9.5631740343313698</v>
      </c>
    </row>
    <row r="65" spans="1:54">
      <c r="G65" s="66"/>
      <c r="R65" s="66"/>
      <c r="AC65" s="66"/>
      <c r="AN65" s="66"/>
      <c r="AY65" s="66"/>
    </row>
    <row r="68" spans="1:54" ht="31">
      <c r="A68" s="33" t="s">
        <v>62</v>
      </c>
    </row>
    <row r="69" spans="1:54">
      <c r="A69" s="34">
        <v>44668</v>
      </c>
      <c r="B69" s="35" t="s">
        <v>54</v>
      </c>
      <c r="C69" s="36" t="s">
        <v>64</v>
      </c>
      <c r="D69" s="38" t="s">
        <v>29</v>
      </c>
      <c r="E69" s="36" t="s">
        <v>22</v>
      </c>
      <c r="F69" s="38" t="s">
        <v>29</v>
      </c>
      <c r="G69" s="38" t="s">
        <v>29</v>
      </c>
      <c r="H69" s="21">
        <v>4.7368568442720301E-3</v>
      </c>
      <c r="I69" s="21">
        <v>3.65253918169645E-2</v>
      </c>
      <c r="J69">
        <f>H69*I69</f>
        <v>1.7301555221790589E-4</v>
      </c>
      <c r="N69" s="36" t="s">
        <v>65</v>
      </c>
      <c r="O69" s="38" t="s">
        <v>29</v>
      </c>
      <c r="P69" s="36" t="s">
        <v>22</v>
      </c>
      <c r="Q69" s="38" t="s">
        <v>29</v>
      </c>
      <c r="R69" s="38" t="s">
        <v>29</v>
      </c>
      <c r="S69" s="21">
        <v>9.5262277533772807E-3</v>
      </c>
      <c r="T69" s="21">
        <v>1.7224609466549301E-2</v>
      </c>
      <c r="U69" s="21">
        <f>S69*T69</f>
        <v>1.6408555274132698E-4</v>
      </c>
      <c r="V69" s="21"/>
      <c r="W69" s="21"/>
      <c r="X69" s="21"/>
      <c r="Y69" s="36" t="s">
        <v>66</v>
      </c>
      <c r="Z69" s="38" t="s">
        <v>29</v>
      </c>
      <c r="AA69" s="36" t="s">
        <v>22</v>
      </c>
      <c r="AB69" s="38" t="s">
        <v>29</v>
      </c>
      <c r="AC69" s="38" t="s">
        <v>29</v>
      </c>
      <c r="AD69" s="21">
        <v>9.6177382846917795E-3</v>
      </c>
      <c r="AE69" s="21">
        <v>1.2114104591110101E-2</v>
      </c>
      <c r="AF69" s="21">
        <f>AD69*AE69</f>
        <v>1.1651028751068007E-4</v>
      </c>
      <c r="AG69" s="21"/>
      <c r="AH69" s="21"/>
      <c r="AI69" s="21"/>
      <c r="AJ69" s="36" t="s">
        <v>67</v>
      </c>
      <c r="AK69" s="38" t="s">
        <v>29</v>
      </c>
      <c r="AL69" s="36" t="s">
        <v>24</v>
      </c>
      <c r="AM69" s="38" t="s">
        <v>29</v>
      </c>
      <c r="AN69" s="38" t="s">
        <v>29</v>
      </c>
      <c r="AO69" s="21">
        <v>1.2773035674506199E-2</v>
      </c>
      <c r="AP69" s="21">
        <v>6.3034967995064901E-3</v>
      </c>
      <c r="AQ69" s="21">
        <f>AO69*AP69</f>
        <v>8.0514789494232056E-5</v>
      </c>
      <c r="AR69" s="21"/>
      <c r="AS69" s="21"/>
      <c r="AT69" s="21"/>
      <c r="AU69" s="36" t="s">
        <v>68</v>
      </c>
      <c r="AV69" s="38" t="s">
        <v>29</v>
      </c>
      <c r="AW69" s="36" t="s">
        <v>24</v>
      </c>
      <c r="AX69" s="38" t="s">
        <v>29</v>
      </c>
      <c r="AY69" s="38" t="s">
        <v>29</v>
      </c>
      <c r="AZ69" s="21">
        <v>1.26112891412018E-2</v>
      </c>
      <c r="BA69" s="21">
        <v>6.8005320239244299E-3</v>
      </c>
      <c r="BB69">
        <f>AZ69*BA69</f>
        <v>8.5763475667713265E-5</v>
      </c>
    </row>
    <row r="70" spans="1:54">
      <c r="A70" s="34">
        <v>44668</v>
      </c>
      <c r="B70" s="35" t="s">
        <v>57</v>
      </c>
      <c r="C70" s="36" t="s">
        <v>64</v>
      </c>
      <c r="D70" s="38" t="s">
        <v>29</v>
      </c>
      <c r="E70" s="36" t="s">
        <v>22</v>
      </c>
      <c r="F70" s="38" t="s">
        <v>29</v>
      </c>
      <c r="G70" s="38" t="s">
        <v>29</v>
      </c>
      <c r="H70" s="21">
        <v>4.7422889473136302E-3</v>
      </c>
      <c r="I70" s="21">
        <v>2.4319320939491601E-2</v>
      </c>
      <c r="J70">
        <f t="shared" ref="J70:J78" si="16">H70*I70</f>
        <v>1.1532924689752394E-4</v>
      </c>
      <c r="N70" s="36" t="s">
        <v>65</v>
      </c>
      <c r="O70" s="38" t="s">
        <v>29</v>
      </c>
      <c r="P70" s="36" t="s">
        <v>22</v>
      </c>
      <c r="Q70" s="38" t="s">
        <v>29</v>
      </c>
      <c r="R70" s="38" t="s">
        <v>29</v>
      </c>
      <c r="S70" s="21">
        <v>9.8275164224436405E-3</v>
      </c>
      <c r="T70" s="21">
        <v>1.6933786869010401E-2</v>
      </c>
      <c r="U70" s="21">
        <f t="shared" ref="U70:U78" si="17">S70*T70</f>
        <v>1.664170685493602E-4</v>
      </c>
      <c r="V70" s="21"/>
      <c r="W70" s="21"/>
      <c r="X70" s="21"/>
      <c r="Y70" s="36" t="s">
        <v>66</v>
      </c>
      <c r="Z70" s="38" t="s">
        <v>29</v>
      </c>
      <c r="AA70" s="36" t="s">
        <v>22</v>
      </c>
      <c r="AB70" s="38" t="s">
        <v>29</v>
      </c>
      <c r="AC70" s="38" t="s">
        <v>29</v>
      </c>
      <c r="AD70" s="21">
        <v>9.3930737049317294E-3</v>
      </c>
      <c r="AE70" s="21">
        <v>1.42922531201403E-2</v>
      </c>
      <c r="AF70" s="21">
        <f t="shared" ref="AF70:AF78" si="18">AD70*AE70</f>
        <v>1.3424818696701832E-4</v>
      </c>
      <c r="AG70" s="21"/>
      <c r="AH70" s="21"/>
      <c r="AI70" s="21"/>
      <c r="AJ70" s="36" t="s">
        <v>67</v>
      </c>
      <c r="AK70" s="38" t="s">
        <v>29</v>
      </c>
      <c r="AL70" s="36" t="s">
        <v>24</v>
      </c>
      <c r="AM70" s="38" t="s">
        <v>29</v>
      </c>
      <c r="AN70" s="38" t="s">
        <v>29</v>
      </c>
      <c r="AO70" s="21">
        <v>1.2708307183957599E-2</v>
      </c>
      <c r="AP70" s="21">
        <v>8.6279164881240596E-3</v>
      </c>
      <c r="AQ70" s="21">
        <f t="shared" ref="AQ70:AQ78" si="19">AO70*AP70</f>
        <v>1.0964621308861322E-4</v>
      </c>
      <c r="AR70" s="21"/>
      <c r="AS70" s="21"/>
      <c r="AT70" s="21"/>
      <c r="AU70" s="36" t="s">
        <v>68</v>
      </c>
      <c r="AV70" s="38" t="s">
        <v>29</v>
      </c>
      <c r="AW70" s="36" t="s">
        <v>24</v>
      </c>
      <c r="AX70" s="38" t="s">
        <v>29</v>
      </c>
      <c r="AY70" s="38" t="s">
        <v>29</v>
      </c>
      <c r="AZ70" s="21">
        <v>1.24794931690849E-2</v>
      </c>
      <c r="BA70" s="21">
        <v>6.9948338324795903E-3</v>
      </c>
      <c r="BB70">
        <f t="shared" ref="BB70:BB78" si="20">AZ70*BA70</f>
        <v>8.7291981031313004E-5</v>
      </c>
    </row>
    <row r="71" spans="1:54">
      <c r="A71" s="34">
        <v>44668</v>
      </c>
      <c r="B71" s="69" t="s">
        <v>53</v>
      </c>
      <c r="C71" s="36" t="s">
        <v>64</v>
      </c>
      <c r="D71" s="38" t="s">
        <v>29</v>
      </c>
      <c r="E71" s="36" t="s">
        <v>22</v>
      </c>
      <c r="F71" s="38" t="s">
        <v>29</v>
      </c>
      <c r="G71" s="38" t="s">
        <v>29</v>
      </c>
      <c r="H71" s="21">
        <v>4.7080843007581497E-3</v>
      </c>
      <c r="I71" s="21">
        <v>3.4256515207342603E-2</v>
      </c>
      <c r="J71">
        <f t="shared" si="16"/>
        <v>1.6128256144637253E-4</v>
      </c>
      <c r="N71" s="36" t="s">
        <v>65</v>
      </c>
      <c r="O71" s="38" t="s">
        <v>29</v>
      </c>
      <c r="P71" s="36" t="s">
        <v>22</v>
      </c>
      <c r="Q71" s="38" t="s">
        <v>29</v>
      </c>
      <c r="R71" s="38" t="s">
        <v>29</v>
      </c>
      <c r="S71" s="21">
        <v>1.01172458650064E-2</v>
      </c>
      <c r="T71" s="21">
        <v>2.8141072233894799E-2</v>
      </c>
      <c r="U71" s="21">
        <f t="shared" si="17"/>
        <v>2.8471014669521856E-4</v>
      </c>
      <c r="V71" s="21"/>
      <c r="W71" s="21"/>
      <c r="X71" s="21"/>
      <c r="Y71" s="36" t="s">
        <v>66</v>
      </c>
      <c r="Z71" s="38" t="s">
        <v>29</v>
      </c>
      <c r="AA71" s="36" t="s">
        <v>22</v>
      </c>
      <c r="AB71" s="38" t="s">
        <v>29</v>
      </c>
      <c r="AC71" s="38" t="s">
        <v>29</v>
      </c>
      <c r="AD71" s="21">
        <v>9.9712230893326207E-3</v>
      </c>
      <c r="AE71" s="21">
        <v>3.1043073073344401E-2</v>
      </c>
      <c r="AF71" s="21">
        <f t="shared" si="18"/>
        <v>3.0953740699277144E-4</v>
      </c>
      <c r="AG71" s="21"/>
      <c r="AH71" s="21"/>
      <c r="AI71" s="21"/>
      <c r="AJ71" s="36" t="s">
        <v>67</v>
      </c>
      <c r="AK71" s="38" t="s">
        <v>29</v>
      </c>
      <c r="AL71" s="36" t="s">
        <v>24</v>
      </c>
      <c r="AM71" s="38" t="s">
        <v>29</v>
      </c>
      <c r="AN71" s="38" t="s">
        <v>29</v>
      </c>
      <c r="AO71" s="21">
        <v>1.2830769363738901E-2</v>
      </c>
      <c r="AP71" s="21">
        <v>1.6705912587308702E-2</v>
      </c>
      <c r="AQ71" s="21">
        <f t="shared" si="19"/>
        <v>2.1434971141854055E-4</v>
      </c>
      <c r="AR71" s="21"/>
      <c r="AS71" s="21"/>
      <c r="AT71" s="21"/>
      <c r="AU71" s="36" t="s">
        <v>68</v>
      </c>
      <c r="AV71" s="38" t="s">
        <v>29</v>
      </c>
      <c r="AW71" s="36" t="s">
        <v>24</v>
      </c>
      <c r="AX71" s="38" t="s">
        <v>29</v>
      </c>
      <c r="AY71" s="38" t="s">
        <v>29</v>
      </c>
      <c r="AZ71" s="21">
        <v>1.283107397878E-2</v>
      </c>
      <c r="BA71" s="21">
        <v>1.18122716924114E-2</v>
      </c>
      <c r="BB71">
        <f t="shared" si="20"/>
        <v>1.5156413194277951E-4</v>
      </c>
    </row>
    <row r="72" spans="1:54">
      <c r="A72" s="34">
        <v>44668</v>
      </c>
      <c r="B72" s="35" t="s">
        <v>60</v>
      </c>
      <c r="C72" s="36" t="s">
        <v>64</v>
      </c>
      <c r="D72" s="38" t="s">
        <v>29</v>
      </c>
      <c r="E72" s="39" t="s">
        <v>22</v>
      </c>
      <c r="F72" s="38" t="s">
        <v>29</v>
      </c>
      <c r="G72" s="38" t="s">
        <v>29</v>
      </c>
      <c r="H72" s="21">
        <v>4.6149115454303703E-3</v>
      </c>
      <c r="I72" s="21">
        <v>2.3120972844505198E-2</v>
      </c>
      <c r="J72">
        <f t="shared" si="16"/>
        <v>1.067012445216891E-4</v>
      </c>
      <c r="N72" s="36" t="s">
        <v>65</v>
      </c>
      <c r="O72" s="38" t="s">
        <v>29</v>
      </c>
      <c r="P72" s="36" t="s">
        <v>22</v>
      </c>
      <c r="Q72" s="38" t="s">
        <v>29</v>
      </c>
      <c r="R72" s="38" t="s">
        <v>29</v>
      </c>
      <c r="S72" s="21">
        <v>1.02705894798899E-2</v>
      </c>
      <c r="T72" s="21">
        <v>3.0451134601306901E-2</v>
      </c>
      <c r="U72" s="21">
        <f t="shared" si="17"/>
        <v>3.1275110268689398E-4</v>
      </c>
      <c r="V72" s="21"/>
      <c r="W72" s="21"/>
      <c r="X72" s="21"/>
      <c r="Y72" s="36" t="s">
        <v>66</v>
      </c>
      <c r="Z72" s="38" t="s">
        <v>29</v>
      </c>
      <c r="AA72" s="36" t="s">
        <v>22</v>
      </c>
      <c r="AB72" s="38" t="s">
        <v>29</v>
      </c>
      <c r="AC72" s="38" t="s">
        <v>29</v>
      </c>
      <c r="AD72" s="21">
        <v>9.8022808940282907E-3</v>
      </c>
      <c r="AE72" s="21">
        <v>1.6760946482798599E-2</v>
      </c>
      <c r="AF72" s="21">
        <f t="shared" si="18"/>
        <v>1.6429550547416739E-4</v>
      </c>
      <c r="AG72" s="21"/>
      <c r="AH72" s="21"/>
      <c r="AI72" s="21"/>
      <c r="AJ72" s="36" t="s">
        <v>67</v>
      </c>
      <c r="AK72" s="38" t="s">
        <v>29</v>
      </c>
      <c r="AL72" s="36" t="s">
        <v>24</v>
      </c>
      <c r="AM72" s="38" t="s">
        <v>29</v>
      </c>
      <c r="AN72" s="38" t="s">
        <v>29</v>
      </c>
      <c r="AO72" s="21">
        <v>1.25757958676777E-2</v>
      </c>
      <c r="AP72" s="21">
        <v>1.3500552113041599E-2</v>
      </c>
      <c r="AQ72" s="21">
        <f t="shared" si="19"/>
        <v>1.6978018747455597E-4</v>
      </c>
      <c r="AR72" s="21"/>
      <c r="AS72" s="21"/>
      <c r="AT72" s="21"/>
      <c r="AU72" s="36" t="s">
        <v>68</v>
      </c>
      <c r="AV72" s="38" t="s">
        <v>29</v>
      </c>
      <c r="AW72" s="36" t="s">
        <v>24</v>
      </c>
      <c r="AX72" s="38" t="s">
        <v>29</v>
      </c>
      <c r="AY72" s="38" t="s">
        <v>29</v>
      </c>
      <c r="AZ72" s="21">
        <v>1.2804341077649301E-2</v>
      </c>
      <c r="BA72" s="21">
        <v>1.09201594033887E-2</v>
      </c>
      <c r="BB72">
        <f t="shared" si="20"/>
        <v>1.3982544562328821E-4</v>
      </c>
    </row>
    <row r="73" spans="1:54">
      <c r="A73" s="34">
        <v>44668</v>
      </c>
      <c r="B73" s="69" t="s">
        <v>58</v>
      </c>
      <c r="C73" s="36" t="s">
        <v>64</v>
      </c>
      <c r="D73" s="38" t="s">
        <v>29</v>
      </c>
      <c r="E73" s="39" t="s">
        <v>22</v>
      </c>
      <c r="F73" s="38" t="s">
        <v>29</v>
      </c>
      <c r="G73" s="38" t="s">
        <v>29</v>
      </c>
      <c r="H73" s="21">
        <v>4.4999574206197003E-3</v>
      </c>
      <c r="I73" s="21">
        <v>3.4795423360931999E-2</v>
      </c>
      <c r="J73">
        <f t="shared" si="16"/>
        <v>1.5657792355663002E-4</v>
      </c>
      <c r="N73" s="36" t="s">
        <v>65</v>
      </c>
      <c r="O73" s="38" t="s">
        <v>29</v>
      </c>
      <c r="P73" s="36" t="s">
        <v>22</v>
      </c>
      <c r="Q73" s="38" t="s">
        <v>29</v>
      </c>
      <c r="R73" s="38" t="s">
        <v>29</v>
      </c>
      <c r="S73" s="21">
        <v>1.0421436540862399E-2</v>
      </c>
      <c r="T73" s="21">
        <v>2.1345731717622302E-2</v>
      </c>
      <c r="U73" s="21">
        <f t="shared" si="17"/>
        <v>2.2245318851347456E-4</v>
      </c>
      <c r="V73" s="21"/>
      <c r="W73" s="21"/>
      <c r="X73" s="21"/>
      <c r="Y73" s="36" t="s">
        <v>66</v>
      </c>
      <c r="Z73" s="38" t="s">
        <v>29</v>
      </c>
      <c r="AA73" s="36" t="s">
        <v>22</v>
      </c>
      <c r="AB73" s="38" t="s">
        <v>29</v>
      </c>
      <c r="AC73" s="38" t="s">
        <v>29</v>
      </c>
      <c r="AD73" s="21">
        <v>1.00537716528063E-2</v>
      </c>
      <c r="AE73" s="21">
        <v>2.5525088608199398E-2</v>
      </c>
      <c r="AF73" s="21">
        <f t="shared" si="18"/>
        <v>2.566234122844841E-4</v>
      </c>
      <c r="AG73" s="21"/>
      <c r="AH73" s="21"/>
      <c r="AI73" s="21"/>
      <c r="AJ73" s="36" t="s">
        <v>67</v>
      </c>
      <c r="AK73" s="38" t="s">
        <v>29</v>
      </c>
      <c r="AL73" s="36" t="s">
        <v>24</v>
      </c>
      <c r="AM73" s="38" t="s">
        <v>29</v>
      </c>
      <c r="AN73" s="38" t="s">
        <v>29</v>
      </c>
      <c r="AO73" s="21">
        <v>1.3194835398854301E-2</v>
      </c>
      <c r="AP73" s="21">
        <v>1.20246410954219E-2</v>
      </c>
      <c r="AQ73" s="21">
        <f t="shared" si="19"/>
        <v>1.5866315998439105E-4</v>
      </c>
      <c r="AR73" s="21"/>
      <c r="AS73" s="21"/>
      <c r="AT73" s="21"/>
      <c r="AU73" s="36" t="s">
        <v>68</v>
      </c>
      <c r="AV73" s="38" t="s">
        <v>29</v>
      </c>
      <c r="AW73" s="36" t="s">
        <v>24</v>
      </c>
      <c r="AX73" s="38" t="s">
        <v>29</v>
      </c>
      <c r="AY73" s="38" t="s">
        <v>29</v>
      </c>
      <c r="AZ73" s="21">
        <v>1.26638678958033E-2</v>
      </c>
      <c r="BA73" s="21">
        <v>7.49782020296344E-3</v>
      </c>
      <c r="BB73">
        <f t="shared" si="20"/>
        <v>9.4951404556814094E-5</v>
      </c>
    </row>
    <row r="74" spans="1:54">
      <c r="A74" s="34">
        <v>44668</v>
      </c>
      <c r="B74" s="35" t="s">
        <v>55</v>
      </c>
      <c r="C74" s="36" t="s">
        <v>64</v>
      </c>
      <c r="D74" s="38" t="s">
        <v>29</v>
      </c>
      <c r="E74" s="39" t="s">
        <v>22</v>
      </c>
      <c r="F74" s="38" t="s">
        <v>29</v>
      </c>
      <c r="G74" s="38" t="s">
        <v>29</v>
      </c>
      <c r="H74" s="21">
        <v>4.5513456789515704E-3</v>
      </c>
      <c r="I74" s="21">
        <v>2.6898773378420299E-2</v>
      </c>
      <c r="J74">
        <f t="shared" si="16"/>
        <v>1.2242561598497078E-4</v>
      </c>
      <c r="N74" s="36" t="s">
        <v>65</v>
      </c>
      <c r="O74" s="38" t="s">
        <v>29</v>
      </c>
      <c r="P74" s="36" t="s">
        <v>22</v>
      </c>
      <c r="Q74" s="38" t="s">
        <v>29</v>
      </c>
      <c r="R74" s="38" t="s">
        <v>29</v>
      </c>
      <c r="S74" s="21">
        <v>9.9017598821707006E-3</v>
      </c>
      <c r="T74" s="21">
        <v>1.54399063933065E-2</v>
      </c>
      <c r="U74" s="21">
        <f t="shared" si="17"/>
        <v>1.5288224570971323E-4</v>
      </c>
      <c r="V74" s="21"/>
      <c r="W74" s="21"/>
      <c r="X74" s="21"/>
      <c r="Y74" s="36" t="s">
        <v>66</v>
      </c>
      <c r="Z74" s="38" t="s">
        <v>29</v>
      </c>
      <c r="AA74" s="36" t="s">
        <v>22</v>
      </c>
      <c r="AB74" s="38" t="s">
        <v>29</v>
      </c>
      <c r="AC74" s="38" t="s">
        <v>29</v>
      </c>
      <c r="AD74" s="21">
        <v>9.5976040153251709E-3</v>
      </c>
      <c r="AE74" s="21">
        <v>1.27802226056362E-2</v>
      </c>
      <c r="AF74" s="21">
        <f t="shared" si="18"/>
        <v>1.2265951579660351E-4</v>
      </c>
      <c r="AG74" s="21"/>
      <c r="AH74" s="21"/>
      <c r="AI74" s="21"/>
      <c r="AJ74" s="36" t="s">
        <v>67</v>
      </c>
      <c r="AK74" s="38" t="s">
        <v>29</v>
      </c>
      <c r="AL74" s="36" t="s">
        <v>24</v>
      </c>
      <c r="AM74" s="38" t="s">
        <v>29</v>
      </c>
      <c r="AN74" s="38" t="s">
        <v>29</v>
      </c>
      <c r="AO74" s="21">
        <v>1.24915017674747E-2</v>
      </c>
      <c r="AP74" s="21">
        <v>7.8248956070779193E-3</v>
      </c>
      <c r="AQ74" s="21">
        <f t="shared" si="19"/>
        <v>9.7744697306118843E-5</v>
      </c>
      <c r="AR74" s="21"/>
      <c r="AS74" s="21"/>
      <c r="AT74" s="21"/>
      <c r="AU74" s="36" t="s">
        <v>68</v>
      </c>
      <c r="AV74" s="38" t="s">
        <v>29</v>
      </c>
      <c r="AW74" s="36" t="s">
        <v>24</v>
      </c>
      <c r="AX74" s="38" t="s">
        <v>29</v>
      </c>
      <c r="AY74" s="38" t="s">
        <v>29</v>
      </c>
      <c r="AZ74" s="21">
        <v>1.26979127489113E-2</v>
      </c>
      <c r="BA74" s="21">
        <v>7.3940773112464702E-3</v>
      </c>
      <c r="BB74">
        <f t="shared" si="20"/>
        <v>9.3889348556912332E-5</v>
      </c>
    </row>
    <row r="75" spans="1:54">
      <c r="A75" s="34">
        <v>44668</v>
      </c>
      <c r="B75" s="69" t="s">
        <v>59</v>
      </c>
      <c r="C75" s="36" t="s">
        <v>64</v>
      </c>
      <c r="D75" s="38" t="s">
        <v>29</v>
      </c>
      <c r="E75" s="39" t="s">
        <v>22</v>
      </c>
      <c r="F75" s="38" t="s">
        <v>29</v>
      </c>
      <c r="G75" s="38" t="s">
        <v>29</v>
      </c>
      <c r="H75" s="21">
        <v>4.4646865447693397E-3</v>
      </c>
      <c r="I75" s="21">
        <v>3.3881766176946097E-2</v>
      </c>
      <c r="J75">
        <f t="shared" si="16"/>
        <v>1.5127146556323214E-4</v>
      </c>
      <c r="N75" s="36" t="s">
        <v>65</v>
      </c>
      <c r="O75" s="38" t="s">
        <v>29</v>
      </c>
      <c r="P75" s="36" t="s">
        <v>22</v>
      </c>
      <c r="Q75" s="38" t="s">
        <v>29</v>
      </c>
      <c r="R75" s="38" t="s">
        <v>29</v>
      </c>
      <c r="S75" s="21">
        <v>9.9098716174336396E-3</v>
      </c>
      <c r="T75" s="21">
        <v>1.9518619409206701E-2</v>
      </c>
      <c r="U75" s="21">
        <f t="shared" si="17"/>
        <v>1.9342701249478684E-4</v>
      </c>
      <c r="V75" s="21"/>
      <c r="W75" s="21"/>
      <c r="X75" s="21"/>
      <c r="Y75" s="36" t="s">
        <v>66</v>
      </c>
      <c r="Z75" s="38" t="s">
        <v>29</v>
      </c>
      <c r="AA75" s="36" t="s">
        <v>22</v>
      </c>
      <c r="AB75" s="38" t="s">
        <v>29</v>
      </c>
      <c r="AC75" s="38" t="s">
        <v>29</v>
      </c>
      <c r="AD75" s="21">
        <v>1.04039409098439E-2</v>
      </c>
      <c r="AE75" s="21">
        <v>2.3177234269433199E-2</v>
      </c>
      <c r="AF75" s="21">
        <f t="shared" si="18"/>
        <v>2.4113457579279205E-4</v>
      </c>
      <c r="AG75" s="21"/>
      <c r="AH75" s="21"/>
      <c r="AI75" s="21"/>
      <c r="AJ75" s="36" t="s">
        <v>67</v>
      </c>
      <c r="AK75" s="38" t="s">
        <v>29</v>
      </c>
      <c r="AL75" s="36" t="s">
        <v>24</v>
      </c>
      <c r="AM75" s="38" t="s">
        <v>29</v>
      </c>
      <c r="AN75" s="38" t="s">
        <v>29</v>
      </c>
      <c r="AO75" s="21">
        <v>1.3142523789130301E-2</v>
      </c>
      <c r="AP75" s="21">
        <v>1.14366058662959E-2</v>
      </c>
      <c r="AQ75" s="21">
        <f t="shared" si="19"/>
        <v>1.5030586466470102E-4</v>
      </c>
      <c r="AR75" s="21"/>
      <c r="AS75" s="21"/>
      <c r="AT75" s="21"/>
      <c r="AU75" s="36" t="s">
        <v>68</v>
      </c>
      <c r="AV75" s="38" t="s">
        <v>29</v>
      </c>
      <c r="AW75" s="36" t="s">
        <v>24</v>
      </c>
      <c r="AX75" s="38" t="s">
        <v>29</v>
      </c>
      <c r="AY75" s="38" t="s">
        <v>29</v>
      </c>
      <c r="AZ75" s="21">
        <v>1.29739115903351E-2</v>
      </c>
      <c r="BA75" s="21">
        <v>1.0445223929491E-2</v>
      </c>
      <c r="BB75">
        <f t="shared" si="20"/>
        <v>1.3551541180246881E-4</v>
      </c>
    </row>
    <row r="76" spans="1:54">
      <c r="A76" s="34">
        <v>44668</v>
      </c>
      <c r="B76" s="35" t="s">
        <v>61</v>
      </c>
      <c r="C76" s="36" t="s">
        <v>64</v>
      </c>
      <c r="D76" s="38" t="s">
        <v>29</v>
      </c>
      <c r="E76" s="39" t="s">
        <v>22</v>
      </c>
      <c r="F76" s="38" t="s">
        <v>29</v>
      </c>
      <c r="G76" s="38" t="s">
        <v>29</v>
      </c>
      <c r="H76" s="21">
        <v>4.5606614526448302E-3</v>
      </c>
      <c r="I76" s="21">
        <v>2.2727988868950201E-2</v>
      </c>
      <c r="J76">
        <f t="shared" si="16"/>
        <v>1.0365466273076196E-4</v>
      </c>
      <c r="N76" s="36" t="s">
        <v>65</v>
      </c>
      <c r="O76" s="38" t="s">
        <v>29</v>
      </c>
      <c r="P76" s="36" t="s">
        <v>22</v>
      </c>
      <c r="Q76" s="38" t="s">
        <v>29</v>
      </c>
      <c r="R76" s="38" t="s">
        <v>29</v>
      </c>
      <c r="S76" s="21">
        <v>9.9098716174336396E-3</v>
      </c>
      <c r="T76" s="21">
        <v>1.9518619409206701E-2</v>
      </c>
      <c r="U76" s="21">
        <f t="shared" si="17"/>
        <v>1.9342701249478684E-4</v>
      </c>
      <c r="V76" s="21"/>
      <c r="W76" s="21"/>
      <c r="X76" s="21"/>
      <c r="Y76" s="36" t="s">
        <v>66</v>
      </c>
      <c r="Z76" s="38" t="s">
        <v>29</v>
      </c>
      <c r="AA76" s="36" t="s">
        <v>22</v>
      </c>
      <c r="AB76" s="38" t="s">
        <v>29</v>
      </c>
      <c r="AC76" s="38" t="s">
        <v>29</v>
      </c>
      <c r="AD76" s="21">
        <v>9.9637982210223405E-3</v>
      </c>
      <c r="AE76" s="21">
        <v>1.5051418162099499E-2</v>
      </c>
      <c r="AF76" s="21">
        <f t="shared" si="18"/>
        <v>1.4996929350739034E-4</v>
      </c>
      <c r="AG76" s="21"/>
      <c r="AH76" s="21"/>
      <c r="AI76" s="21"/>
      <c r="AJ76" s="36" t="s">
        <v>67</v>
      </c>
      <c r="AK76" s="38" t="s">
        <v>29</v>
      </c>
      <c r="AL76" s="36" t="s">
        <v>24</v>
      </c>
      <c r="AM76" s="38" t="s">
        <v>29</v>
      </c>
      <c r="AN76" s="38" t="s">
        <v>29</v>
      </c>
      <c r="AO76" s="21">
        <v>1.2792696557636899E-2</v>
      </c>
      <c r="AP76" s="21">
        <v>1.04529409363384E-2</v>
      </c>
      <c r="AQ76" s="21">
        <f t="shared" si="19"/>
        <v>1.3372130153347807E-4</v>
      </c>
      <c r="AR76" s="21"/>
      <c r="AS76" s="21"/>
      <c r="AT76" s="21"/>
      <c r="AU76" s="36" t="s">
        <v>68</v>
      </c>
      <c r="AV76" s="38" t="s">
        <v>29</v>
      </c>
      <c r="AW76" s="36" t="s">
        <v>24</v>
      </c>
      <c r="AX76" s="38" t="s">
        <v>29</v>
      </c>
      <c r="AY76" s="38" t="s">
        <v>29</v>
      </c>
      <c r="AZ76" s="21">
        <v>1.2758807504271301E-2</v>
      </c>
      <c r="BA76" s="21">
        <v>6.9608887738503598E-3</v>
      </c>
      <c r="BB76">
        <f t="shared" si="20"/>
        <v>8.8812639924199828E-5</v>
      </c>
    </row>
    <row r="77" spans="1:54">
      <c r="A77" s="34">
        <v>44668</v>
      </c>
      <c r="B77" s="35" t="s">
        <v>56</v>
      </c>
      <c r="C77" s="36" t="s">
        <v>64</v>
      </c>
      <c r="D77" s="38" t="s">
        <v>29</v>
      </c>
      <c r="E77" s="39" t="s">
        <v>22</v>
      </c>
      <c r="F77" s="38" t="s">
        <v>29</v>
      </c>
      <c r="G77" s="38" t="s">
        <v>29</v>
      </c>
      <c r="H77" s="21">
        <v>4.3267972533551496E-3</v>
      </c>
      <c r="I77" s="21">
        <v>2.7685778509220299E-2</v>
      </c>
      <c r="J77">
        <f t="shared" si="16"/>
        <v>1.1979075041069341E-4</v>
      </c>
      <c r="N77" s="36" t="s">
        <v>65</v>
      </c>
      <c r="O77" s="38" t="s">
        <v>29</v>
      </c>
      <c r="P77" s="36" t="s">
        <v>22</v>
      </c>
      <c r="Q77" s="38" t="s">
        <v>29</v>
      </c>
      <c r="R77" s="38" t="s">
        <v>29</v>
      </c>
      <c r="S77" s="21">
        <v>9.8425587131535999E-3</v>
      </c>
      <c r="T77" s="21">
        <v>1.504513004255E-2</v>
      </c>
      <c r="U77" s="21">
        <f t="shared" si="17"/>
        <v>1.4808257579082949E-4</v>
      </c>
      <c r="V77" s="21"/>
      <c r="W77" s="21"/>
      <c r="X77" s="21"/>
      <c r="Y77" s="36" t="s">
        <v>66</v>
      </c>
      <c r="Z77" s="38" t="s">
        <v>29</v>
      </c>
      <c r="AA77" s="36" t="s">
        <v>22</v>
      </c>
      <c r="AB77" s="38" t="s">
        <v>29</v>
      </c>
      <c r="AC77" s="38" t="s">
        <v>29</v>
      </c>
      <c r="AD77" s="21">
        <v>9.5699592132698005E-3</v>
      </c>
      <c r="AE77" s="21">
        <v>1.2692107943671699E-2</v>
      </c>
      <c r="AF77" s="21">
        <f t="shared" si="18"/>
        <v>1.214629553513558E-4</v>
      </c>
      <c r="AG77" s="21"/>
      <c r="AH77" s="21"/>
      <c r="AI77" s="21"/>
      <c r="AJ77" s="36" t="s">
        <v>67</v>
      </c>
      <c r="AK77" s="38" t="s">
        <v>29</v>
      </c>
      <c r="AL77" s="36" t="s">
        <v>24</v>
      </c>
      <c r="AM77" s="38" t="s">
        <v>29</v>
      </c>
      <c r="AN77" s="38" t="s">
        <v>29</v>
      </c>
      <c r="AO77" s="21">
        <v>1.2679448417850099E-2</v>
      </c>
      <c r="AP77" s="21">
        <v>7.6149430542599003E-3</v>
      </c>
      <c r="AQ77" s="21">
        <f t="shared" si="19"/>
        <v>9.6553277661354299E-5</v>
      </c>
      <c r="AR77" s="21"/>
      <c r="AS77" s="21"/>
      <c r="AT77" s="21"/>
      <c r="AU77" s="36" t="s">
        <v>68</v>
      </c>
      <c r="AV77" s="38" t="s">
        <v>29</v>
      </c>
      <c r="AW77" s="36" t="s">
        <v>24</v>
      </c>
      <c r="AX77" s="38" t="s">
        <v>29</v>
      </c>
      <c r="AY77" s="38" t="s">
        <v>29</v>
      </c>
      <c r="AZ77" s="21">
        <v>1.24901233581949E-2</v>
      </c>
      <c r="BA77" s="21">
        <v>8.0995641747015207E-3</v>
      </c>
      <c r="BB77">
        <f t="shared" si="20"/>
        <v>1.0116455568963806E-4</v>
      </c>
    </row>
    <row r="78" spans="1:54">
      <c r="A78" s="34">
        <v>44668</v>
      </c>
      <c r="B78" s="35" t="s">
        <v>52</v>
      </c>
      <c r="C78" s="36" t="s">
        <v>64</v>
      </c>
      <c r="D78" s="38" t="s">
        <v>29</v>
      </c>
      <c r="E78" s="39" t="s">
        <v>23</v>
      </c>
      <c r="F78" s="38" t="s">
        <v>29</v>
      </c>
      <c r="G78" s="38" t="s">
        <v>29</v>
      </c>
      <c r="H78" s="21">
        <v>4.8791787053928098E-3</v>
      </c>
      <c r="I78" s="21">
        <v>1.8346261265949199E-2</v>
      </c>
      <c r="J78">
        <f t="shared" si="16"/>
        <v>8.9514687292392266E-5</v>
      </c>
      <c r="N78" s="36" t="s">
        <v>65</v>
      </c>
      <c r="O78" s="38" t="s">
        <v>29</v>
      </c>
      <c r="P78" s="36" t="s">
        <v>22</v>
      </c>
      <c r="Q78" s="38" t="s">
        <v>29</v>
      </c>
      <c r="R78" s="38" t="s">
        <v>29</v>
      </c>
      <c r="S78" s="21">
        <v>9.7261224414565191E-3</v>
      </c>
      <c r="T78" s="21">
        <v>1.4229709441545E-2</v>
      </c>
      <c r="U78" s="21">
        <f t="shared" si="17"/>
        <v>1.3839989633481655E-4</v>
      </c>
      <c r="V78" s="21"/>
      <c r="W78" s="21"/>
      <c r="X78" s="21"/>
      <c r="Y78" s="36" t="s">
        <v>66</v>
      </c>
      <c r="Z78" s="38" t="s">
        <v>29</v>
      </c>
      <c r="AA78" s="36" t="s">
        <v>22</v>
      </c>
      <c r="AB78" s="38" t="s">
        <v>29</v>
      </c>
      <c r="AC78" s="38" t="s">
        <v>29</v>
      </c>
      <c r="AD78" s="21">
        <v>9.9587205824323306E-3</v>
      </c>
      <c r="AE78" s="21">
        <v>1.24317174058653E-2</v>
      </c>
      <c r="AF78" s="21">
        <f t="shared" si="18"/>
        <v>1.2380400000477302E-4</v>
      </c>
      <c r="AG78" s="21"/>
      <c r="AH78" s="21"/>
      <c r="AI78" s="21"/>
      <c r="AJ78" s="36" t="s">
        <v>67</v>
      </c>
      <c r="AK78" s="38" t="s">
        <v>29</v>
      </c>
      <c r="AL78" s="36" t="s">
        <v>24</v>
      </c>
      <c r="AM78" s="38" t="s">
        <v>29</v>
      </c>
      <c r="AN78" s="38" t="s">
        <v>29</v>
      </c>
      <c r="AO78" s="21">
        <v>1.2567252858299899E-2</v>
      </c>
      <c r="AP78" s="21">
        <v>7.1702645813881997E-3</v>
      </c>
      <c r="AQ78" s="21">
        <f t="shared" si="19"/>
        <v>9.011052805521738E-5</v>
      </c>
      <c r="AR78" s="21"/>
      <c r="AS78" s="21"/>
      <c r="AT78" s="21"/>
      <c r="AU78" s="36" t="s">
        <v>68</v>
      </c>
      <c r="AV78" s="38" t="s">
        <v>29</v>
      </c>
      <c r="AW78" s="36" t="s">
        <v>24</v>
      </c>
      <c r="AX78" s="38" t="s">
        <v>29</v>
      </c>
      <c r="AY78" s="38" t="s">
        <v>29</v>
      </c>
      <c r="AZ78" s="21">
        <v>1.2561634299360301E-2</v>
      </c>
      <c r="BA78" s="21">
        <v>6.7392388137362301E-3</v>
      </c>
      <c r="BB78">
        <f t="shared" si="20"/>
        <v>8.4655853434209257E-5</v>
      </c>
    </row>
    <row r="79" spans="1:54">
      <c r="A79" s="34"/>
      <c r="B79" s="35"/>
      <c r="C79" s="36"/>
      <c r="D79" s="38"/>
      <c r="E79" s="39"/>
      <c r="F79" s="38"/>
      <c r="G79" s="38"/>
      <c r="H79" s="21"/>
      <c r="I79" s="21"/>
      <c r="N79" s="36"/>
      <c r="O79" s="38"/>
      <c r="P79" s="36"/>
      <c r="Q79" s="38"/>
      <c r="R79" s="38"/>
      <c r="S79" s="21"/>
      <c r="T79" s="21"/>
      <c r="U79" s="21"/>
      <c r="V79" s="21"/>
      <c r="W79" s="21"/>
      <c r="X79" s="21"/>
      <c r="Y79" s="36"/>
      <c r="Z79" s="38"/>
      <c r="AA79" s="36"/>
      <c r="AB79" s="38"/>
      <c r="AC79" s="38"/>
      <c r="AD79" s="21"/>
      <c r="AE79" s="21"/>
      <c r="AF79" s="21"/>
      <c r="AG79" s="21"/>
      <c r="AH79" s="21"/>
      <c r="AI79" s="21"/>
      <c r="AJ79" s="36"/>
      <c r="AK79" s="38"/>
      <c r="AL79" s="36"/>
      <c r="AM79" s="38"/>
      <c r="AN79" s="38"/>
      <c r="AO79" s="21"/>
      <c r="AP79" s="21"/>
      <c r="AQ79" s="21"/>
      <c r="AR79" s="21"/>
      <c r="AS79" s="21"/>
      <c r="AT79" s="21"/>
      <c r="AU79" s="36"/>
      <c r="AV79" s="38"/>
      <c r="AW79" s="36"/>
      <c r="AX79" s="38"/>
      <c r="AY79" s="38"/>
      <c r="AZ79" s="21"/>
      <c r="BA79" s="21"/>
    </row>
    <row r="80" spans="1:54">
      <c r="G80" s="62"/>
      <c r="H80" s="63" t="s">
        <v>96</v>
      </c>
      <c r="I80" s="63" t="s">
        <v>100</v>
      </c>
      <c r="J80" s="1"/>
      <c r="K80" s="1"/>
      <c r="L80" s="1"/>
      <c r="M80" s="1"/>
      <c r="R80" s="62"/>
      <c r="S80" s="63" t="s">
        <v>96</v>
      </c>
      <c r="T80" s="63" t="s">
        <v>100</v>
      </c>
      <c r="U80" s="1"/>
      <c r="V80" s="1"/>
      <c r="W80" s="1"/>
      <c r="X80" s="1"/>
      <c r="AC80" s="62"/>
      <c r="AD80" s="63" t="s">
        <v>96</v>
      </c>
      <c r="AE80" s="63" t="s">
        <v>100</v>
      </c>
      <c r="AF80" s="1"/>
      <c r="AG80" s="1"/>
      <c r="AH80" s="1"/>
      <c r="AI80" s="1"/>
      <c r="AN80" s="62"/>
      <c r="AO80" s="63" t="s">
        <v>96</v>
      </c>
      <c r="AP80" s="63" t="s">
        <v>100</v>
      </c>
      <c r="AQ80" s="1"/>
      <c r="AR80" s="1"/>
      <c r="AS80" s="1"/>
      <c r="AT80" s="1"/>
      <c r="AY80" s="62"/>
      <c r="AZ80" s="63" t="s">
        <v>96</v>
      </c>
      <c r="BA80" s="63" t="s">
        <v>100</v>
      </c>
      <c r="BB80" s="1"/>
    </row>
    <row r="81" spans="1:129">
      <c r="G81" s="63" t="s">
        <v>94</v>
      </c>
      <c r="H81" s="64">
        <f>SUM(H71/I71^2,H73/I73^2,H75/I75^2)/SUM(1/I71^2,1/I73^2,1/I75^2)</f>
        <v>4.5574774065525138E-3</v>
      </c>
      <c r="I81" s="64">
        <f>SQRT(1/SUM(1/I71^2,1/I73^2,1/I75^2))</f>
        <v>1.9806062343528531E-2</v>
      </c>
      <c r="R81" s="63" t="s">
        <v>94</v>
      </c>
      <c r="S81" s="64">
        <f>SUM(S71/T71^2,S73/T73^2,S75/T75^2)/SUM(1/T71^2,1/T73^2,1/T75^2)</f>
        <v>1.013751591566487E-2</v>
      </c>
      <c r="T81" s="64">
        <f>SQRT(1/SUM(1/T71^2,1/T73^2,1/T75^2))</f>
        <v>1.2822302724913427E-2</v>
      </c>
      <c r="AC81" s="63" t="s">
        <v>94</v>
      </c>
      <c r="AD81" s="64">
        <f>SUM(AD71/AE71^2,AD73/AE73^2,AD75/AE75^2)/SUM(1/AE71^2,1/AE73^2,1/AE75^2)</f>
        <v>1.0181463797156591E-2</v>
      </c>
      <c r="AE81" s="64">
        <f>SQRT(1/SUM(1/AE71^2,1/AE73^2,1/AE75^2))</f>
        <v>1.5017479437676503E-2</v>
      </c>
      <c r="AN81" s="63" t="s">
        <v>94</v>
      </c>
      <c r="AO81" s="64">
        <f>SUM(AO71/AP71^2,AO73/AP73^2,AO75/AP75^2)/SUM(1/AP71^2,1/AP73^2,1/AP75^2)</f>
        <v>1.3100899247429111E-2</v>
      </c>
      <c r="AP81" s="64">
        <f>SQRT(1/SUM(1/AP71^2,1/AP73^2,1/AP75^2))</f>
        <v>7.4237977401402653E-3</v>
      </c>
      <c r="AY81" s="63" t="s">
        <v>94</v>
      </c>
      <c r="AZ81" s="64">
        <f>SUM(AZ71/BA71^2,AZ73/BA73^2,AZ75/BA75^2)/SUM(1/BA71^2,1/BA73^2,1/BA75^2)</f>
        <v>1.2782274366398883E-2</v>
      </c>
      <c r="BA81" s="64">
        <f>SQRT(1/SUM(1/BA71^2,1/BA73^2,1/BA75^2))</f>
        <v>5.4136589967443216E-3</v>
      </c>
    </row>
    <row r="82" spans="1:129">
      <c r="G82" s="63" t="s">
        <v>95</v>
      </c>
      <c r="H82" s="64">
        <f>SUM(H70/I70^2,H72/I72^2,H74/I74^2,H76/I76^2,H77/I77^2)/SUM(1/I70^2,1/I72^2,1/I74^2,1/I76^2,1/I77^2)</f>
        <v>4.5717318020336911E-3</v>
      </c>
      <c r="I82" s="64">
        <f>SQRT(1/SUM(1/I70^2,1/I72^2,1/I74^2,1/I76^2,1/I77^2))</f>
        <v>1.1053915235613445E-2</v>
      </c>
      <c r="R82" s="63" t="s">
        <v>95</v>
      </c>
      <c r="S82" s="64">
        <f>SUM(S70/T70^2,S72/T72^2,S74/T74^2,S76/T76^2,S77/T77^2)/SUM(1/T70^2,1/T72^2,1/T74^2,1/T76^2,1/T77^2)</f>
        <v>9.8953433959420387E-3</v>
      </c>
      <c r="T82" s="64">
        <f>SQRT(1/SUM(1/T70^2,1/T72^2,1/T74^2,1/T76^2,1/T77^2))</f>
        <v>7.9547668544140762E-3</v>
      </c>
      <c r="AC82" s="63" t="s">
        <v>95</v>
      </c>
      <c r="AD82" s="64">
        <f>SUM(AD70/AE70^2,AD72/AE72^2,AD74/AE74^2,AD76/AE76^2,AD77/AE77^2)/SUM(1/AE70^2,1/AE72^2,1/AE74^2,1/AE76^2,1/AE77^2)</f>
        <v>9.6441172766615606E-3</v>
      </c>
      <c r="AE82" s="64">
        <f>SQRT(1/SUM(1/AE70^2,1/AE72^2,1/AE74^2,1/AE76^2,1/AE77^2))</f>
        <v>6.2994819031624598E-3</v>
      </c>
      <c r="AN82" s="63" t="s">
        <v>95</v>
      </c>
      <c r="AO82" s="64">
        <f>SUM(AO70/AP70^2,AO72/AP72^2,AO74/AP74^2,AO76/AP76^2,AO77/AP77^2)/SUM(1/AP70^2,1/AP72^2,1/AP74^2,1/AP76^2,1/AP77^2)</f>
        <v>1.2643533645159718E-2</v>
      </c>
      <c r="AP82" s="64">
        <f>SQRT(1/SUM(1/AP70^2,1/AP72^2,1/AP74^2,1/AP76^2,1/AP77^2))</f>
        <v>4.027500040025063E-3</v>
      </c>
      <c r="AY82" s="63" t="s">
        <v>95</v>
      </c>
      <c r="AZ82" s="64">
        <f>SUM(AZ70/BA70^2,AZ72/BA72^2,AZ74/BA74^2,AZ76/BA76^2,AZ77/BA77^2)/SUM(1/BA70^2,1/BA72^2,1/BA74^2,1/BA76^2,1/BA77^2)</f>
        <v>1.2631858256747926E-2</v>
      </c>
      <c r="BA82" s="64">
        <f>SQRT(1/SUM(1/BA70^2,1/BA72^2,1/BA74^2,1/BA76^2,1/BA77^2))</f>
        <v>3.4711300024619818E-3</v>
      </c>
    </row>
    <row r="83" spans="1:129">
      <c r="G83" s="65" t="s">
        <v>97</v>
      </c>
      <c r="H83" s="64">
        <f>H81/H82</f>
        <v>0.99688205780688266</v>
      </c>
      <c r="I83" s="64">
        <f>SQRT(I81^2+I82^2)</f>
        <v>2.2681912344241741E-2</v>
      </c>
      <c r="R83" s="65" t="s">
        <v>97</v>
      </c>
      <c r="S83" s="64">
        <f>S81/S82</f>
        <v>1.0244733820780938</v>
      </c>
      <c r="T83" s="64">
        <f>SQRT(T81^2+T82^2)</f>
        <v>1.5089392395898753E-2</v>
      </c>
      <c r="AC83" s="65" t="s">
        <v>97</v>
      </c>
      <c r="AD83" s="64">
        <f>AD81/AD82</f>
        <v>1.0557175431488572</v>
      </c>
      <c r="AE83" s="64">
        <f>SQRT(AE81^2+AE82^2)</f>
        <v>1.6285212952531748E-2</v>
      </c>
      <c r="AN83" s="65" t="s">
        <v>97</v>
      </c>
      <c r="AO83" s="64">
        <f>AO81/AO82</f>
        <v>1.0361738747335469</v>
      </c>
      <c r="AP83" s="64">
        <f>SQRT(AP81^2+AP82^2)</f>
        <v>8.4459179168941481E-3</v>
      </c>
      <c r="AY83" s="65" t="s">
        <v>97</v>
      </c>
      <c r="AZ83" s="64">
        <f>AZ81/AZ82</f>
        <v>1.0119076787115313</v>
      </c>
      <c r="BA83" s="64">
        <f>SQRT(BA81^2+BA82^2)</f>
        <v>6.4308978554337539E-3</v>
      </c>
    </row>
    <row r="84" spans="1:129">
      <c r="G84" s="65" t="s">
        <v>99</v>
      </c>
      <c r="H84" s="64">
        <f>(H83-1)*1000</f>
        <v>-3.1179421931173401</v>
      </c>
      <c r="I84" s="64">
        <f>I83*1000</f>
        <v>22.681912344241741</v>
      </c>
      <c r="R84" s="65" t="s">
        <v>99</v>
      </c>
      <c r="S84" s="64">
        <f>(S83-1)*1000</f>
        <v>24.473382078093799</v>
      </c>
      <c r="T84" s="64">
        <f>T83*1000</f>
        <v>15.089392395898754</v>
      </c>
      <c r="AC84" s="65" t="s">
        <v>99</v>
      </c>
      <c r="AD84" s="64">
        <f>(AD83-1)*1000</f>
        <v>55.717543148857239</v>
      </c>
      <c r="AE84" s="64">
        <f>AE83*1000</f>
        <v>16.285212952531747</v>
      </c>
      <c r="AN84" s="65" t="s">
        <v>99</v>
      </c>
      <c r="AO84" s="64">
        <f>(AO83-1)*1000</f>
        <v>36.173874733546938</v>
      </c>
      <c r="AP84" s="64">
        <f>AP83*1000</f>
        <v>8.4459179168941478</v>
      </c>
      <c r="AY84" s="65" t="s">
        <v>99</v>
      </c>
      <c r="AZ84" s="64">
        <f>(AZ83-1)*1000</f>
        <v>11.907678711531311</v>
      </c>
      <c r="BA84" s="64">
        <f>BA83*1000</f>
        <v>6.4308978554337539</v>
      </c>
    </row>
    <row r="85" spans="1:129">
      <c r="G85" s="66"/>
      <c r="R85" s="66"/>
      <c r="AC85" s="66"/>
      <c r="AN85" s="66"/>
      <c r="AY85" s="66"/>
    </row>
    <row r="87" spans="1:129" ht="29">
      <c r="A87" s="14" t="s">
        <v>69</v>
      </c>
      <c r="F87" s="50" t="s">
        <v>83</v>
      </c>
      <c r="K87" s="1" t="s">
        <v>157</v>
      </c>
      <c r="Q87" s="50" t="s">
        <v>83</v>
      </c>
      <c r="V87" s="1" t="s">
        <v>157</v>
      </c>
      <c r="AB87" s="50" t="s">
        <v>83</v>
      </c>
      <c r="AG87" s="1" t="s">
        <v>157</v>
      </c>
      <c r="AM87" s="50" t="s">
        <v>83</v>
      </c>
      <c r="AR87" s="1" t="s">
        <v>157</v>
      </c>
      <c r="AX87" s="50" t="s">
        <v>83</v>
      </c>
      <c r="BC87" s="1" t="s">
        <v>157</v>
      </c>
    </row>
    <row r="88" spans="1:129" s="54" customFormat="1">
      <c r="A88" s="59">
        <v>44669</v>
      </c>
      <c r="B88" s="40" t="s">
        <v>71</v>
      </c>
      <c r="C88" s="40" t="s">
        <v>81</v>
      </c>
      <c r="D88" s="46" t="s">
        <v>29</v>
      </c>
      <c r="E88" s="40" t="s">
        <v>80</v>
      </c>
      <c r="F88" s="49">
        <v>200000</v>
      </c>
      <c r="G88" s="41"/>
      <c r="H88" s="21">
        <v>4.5134165989448402E-2</v>
      </c>
      <c r="I88" s="21">
        <v>1.7252751342510499E-2</v>
      </c>
      <c r="J88" s="19">
        <f>H88*I88</f>
        <v>7.7868854286754761E-4</v>
      </c>
      <c r="K88">
        <f>H88*$H$40</f>
        <v>4.8918731988503101E-3</v>
      </c>
      <c r="L88">
        <f>SQRT(I88^2 +$I$40^2)</f>
        <v>1.74166538499427E-2</v>
      </c>
      <c r="M88" s="58"/>
      <c r="N88" s="54" t="s">
        <v>85</v>
      </c>
      <c r="O88" s="55" t="s">
        <v>29</v>
      </c>
      <c r="P88" s="54" t="s">
        <v>80</v>
      </c>
      <c r="Q88" s="57">
        <v>51300</v>
      </c>
      <c r="R88" s="56"/>
      <c r="V88" s="109">
        <f>S88*$S$40</f>
        <v>0</v>
      </c>
      <c r="W88" s="109">
        <f>SQRT(T88^2 +$T$40^2)</f>
        <v>2.1833965064391087E-3</v>
      </c>
      <c r="X88" s="58"/>
      <c r="Z88" s="55" t="s">
        <v>29</v>
      </c>
      <c r="AA88" s="54" t="s">
        <v>80</v>
      </c>
      <c r="AB88" s="57">
        <v>40000</v>
      </c>
      <c r="AC88" s="56"/>
      <c r="AG88" s="109">
        <f>AD88*$H$40</f>
        <v>0</v>
      </c>
      <c r="AH88" s="109">
        <f>SQRT(AE88^2 +$I$40^2)</f>
        <v>2.3837790254606478E-3</v>
      </c>
      <c r="AI88" s="58"/>
      <c r="AJ88" s="40" t="s">
        <v>90</v>
      </c>
      <c r="AK88" s="46" t="s">
        <v>29</v>
      </c>
      <c r="AL88" s="40" t="s">
        <v>80</v>
      </c>
      <c r="AM88" s="51">
        <v>76000</v>
      </c>
      <c r="AN88" s="41"/>
      <c r="AO88" s="21">
        <v>6.9716681193270402E-2</v>
      </c>
      <c r="AP88" s="21">
        <v>8.7640919045720092E-3</v>
      </c>
      <c r="AQ88" s="19">
        <f>AO88*AP88</f>
        <v>6.110034012595688E-4</v>
      </c>
      <c r="AR88">
        <f>AO88*$AO$40</f>
        <v>1.1817228198124956E-2</v>
      </c>
      <c r="AS88">
        <f>SQRT(AP88^2 +$AP$40^2)</f>
        <v>8.8434481781969696E-3</v>
      </c>
      <c r="AT88" s="21"/>
      <c r="AU88" s="40" t="s">
        <v>92</v>
      </c>
      <c r="AV88" s="46" t="s">
        <v>29</v>
      </c>
      <c r="AW88" s="40" t="s">
        <v>80</v>
      </c>
      <c r="AX88" s="51">
        <v>300000</v>
      </c>
      <c r="AY88" s="41"/>
      <c r="AZ88" s="21">
        <v>7.0000109342050601E-2</v>
      </c>
      <c r="BA88" s="21">
        <v>9.0645594038067292E-3</v>
      </c>
      <c r="BB88" s="19">
        <f>AZ88*BA88</f>
        <v>6.3452014940398405E-4</v>
      </c>
      <c r="BC88">
        <f>AZ88*$AZ$40</f>
        <v>1.1867294481969007E-2</v>
      </c>
      <c r="BD88">
        <f>SQRT(BA88^2 +$BA$40^2)</f>
        <v>9.1157456426948242E-3</v>
      </c>
      <c r="BE88" s="58"/>
      <c r="BF88" s="58"/>
      <c r="BG88" s="58"/>
      <c r="BH88" s="58"/>
      <c r="BI88" s="58"/>
      <c r="BJ88" s="58"/>
      <c r="BK88" s="58"/>
      <c r="BL88" s="58"/>
      <c r="BM88" s="58"/>
      <c r="BN88" s="58"/>
      <c r="BO88" s="58"/>
      <c r="BP88" s="58"/>
      <c r="BQ88" s="58"/>
      <c r="BR88" s="58"/>
      <c r="BS88" s="58"/>
      <c r="BT88" s="58"/>
      <c r="BU88" s="58"/>
      <c r="BV88" s="58"/>
      <c r="BW88" s="58"/>
      <c r="BX88" s="58"/>
      <c r="BY88" s="58"/>
      <c r="BZ88" s="58"/>
      <c r="CA88" s="58"/>
      <c r="CB88" s="58"/>
      <c r="CC88" s="58"/>
      <c r="CD88" s="58"/>
      <c r="CE88" s="58"/>
      <c r="CF88" s="58"/>
      <c r="CG88" s="58"/>
      <c r="CH88" s="58"/>
      <c r="CI88" s="58"/>
      <c r="CJ88" s="58"/>
      <c r="CK88" s="58"/>
      <c r="CL88" s="58"/>
      <c r="CM88" s="58"/>
      <c r="CN88" s="58"/>
      <c r="CO88" s="58"/>
      <c r="CP88" s="58"/>
      <c r="CQ88" s="58"/>
      <c r="CR88" s="58"/>
      <c r="CS88" s="58"/>
      <c r="CT88" s="58"/>
      <c r="CU88" s="58"/>
      <c r="CV88" s="58"/>
      <c r="CW88" s="58"/>
      <c r="CX88" s="58"/>
      <c r="CY88" s="58"/>
      <c r="CZ88" s="58"/>
      <c r="DA88" s="58"/>
      <c r="DB88" s="58"/>
      <c r="DC88" s="58"/>
      <c r="DD88" s="58"/>
      <c r="DE88" s="58"/>
      <c r="DF88" s="58"/>
      <c r="DG88" s="58"/>
      <c r="DH88" s="58"/>
      <c r="DI88" s="58"/>
      <c r="DJ88" s="58"/>
      <c r="DK88" s="58"/>
      <c r="DL88" s="58"/>
      <c r="DM88" s="58"/>
      <c r="DN88" s="58"/>
      <c r="DO88" s="58"/>
      <c r="DP88" s="58"/>
      <c r="DQ88" s="58"/>
      <c r="DR88" s="58"/>
      <c r="DS88" s="58"/>
      <c r="DT88" s="58"/>
      <c r="DU88" s="58"/>
      <c r="DV88" s="58"/>
      <c r="DW88" s="58"/>
      <c r="DX88" s="58"/>
      <c r="DY88" s="58"/>
    </row>
    <row r="89" spans="1:129" s="54" customFormat="1">
      <c r="A89" s="59">
        <v>44669</v>
      </c>
      <c r="B89" s="60" t="s">
        <v>72</v>
      </c>
      <c r="C89" s="40" t="s">
        <v>81</v>
      </c>
      <c r="D89" s="46" t="s">
        <v>29</v>
      </c>
      <c r="E89" s="40" t="s">
        <v>80</v>
      </c>
      <c r="F89" s="49">
        <v>16000</v>
      </c>
      <c r="G89" s="41"/>
      <c r="H89" s="21">
        <v>4.7065492421371903E-2</v>
      </c>
      <c r="I89" s="21">
        <v>4.7971324361575703E-2</v>
      </c>
      <c r="J89" s="19">
        <f t="shared" ref="J89:J98" si="21">H89*I89</f>
        <v>2.2577940031829145E-3</v>
      </c>
      <c r="K89">
        <f>H89*$H$39</f>
        <v>5.1192167881217391E-3</v>
      </c>
      <c r="L89">
        <f>SQRT(I89^2+$I$39^2)</f>
        <v>4.81599450880991E-2</v>
      </c>
      <c r="M89" s="58"/>
      <c r="N89" s="54" t="s">
        <v>84</v>
      </c>
      <c r="O89" s="55" t="s">
        <v>29</v>
      </c>
      <c r="P89" s="54" t="s">
        <v>80</v>
      </c>
      <c r="Q89" s="57">
        <v>6000</v>
      </c>
      <c r="R89" s="56"/>
      <c r="V89" s="109">
        <f>S89*$S$39</f>
        <v>0</v>
      </c>
      <c r="W89" s="109">
        <f>SQRT(T89^2+T39^2)</f>
        <v>3.5332492503972815E-3</v>
      </c>
      <c r="X89" s="58"/>
      <c r="Z89" s="55" t="s">
        <v>29</v>
      </c>
      <c r="AA89" s="54" t="s">
        <v>80</v>
      </c>
      <c r="AB89" s="57">
        <v>3000</v>
      </c>
      <c r="AC89" s="56"/>
      <c r="AG89" s="109">
        <f>AD89*$H$39</f>
        <v>0</v>
      </c>
      <c r="AH89" s="109">
        <f>SQRT(AE89^2+AE39^2)</f>
        <v>4.1552875538222117E-3</v>
      </c>
      <c r="AI89" s="58"/>
      <c r="AJ89" s="40" t="s">
        <v>90</v>
      </c>
      <c r="AK89" s="46" t="s">
        <v>29</v>
      </c>
      <c r="AL89" s="40" t="s">
        <v>80</v>
      </c>
      <c r="AM89" s="51">
        <v>40000</v>
      </c>
      <c r="AN89" s="41"/>
      <c r="AO89" s="21">
        <v>7.2111147437749504E-2</v>
      </c>
      <c r="AP89" s="21">
        <v>1.5240157768632899E-2</v>
      </c>
      <c r="AQ89" s="19">
        <f t="shared" ref="AQ89:AQ98" si="22">AO89*AP89</f>
        <v>1.0989852638284504E-3</v>
      </c>
      <c r="AR89">
        <f>AO89*$AO$39</f>
        <v>1.2311959602261034E-2</v>
      </c>
      <c r="AS89">
        <f>SQRT(AP89^2+$AP$39^2)</f>
        <v>1.5399638247618141E-2</v>
      </c>
      <c r="AT89" s="21"/>
      <c r="AU89" s="40" t="s">
        <v>92</v>
      </c>
      <c r="AV89" s="46" t="s">
        <v>29</v>
      </c>
      <c r="AW89" s="40" t="s">
        <v>80</v>
      </c>
      <c r="AX89" s="51">
        <v>128000</v>
      </c>
      <c r="AY89" s="41"/>
      <c r="AZ89" s="21">
        <v>7.2327423275112004E-2</v>
      </c>
      <c r="BA89" s="21">
        <v>1.1294823287354001E-2</v>
      </c>
      <c r="BB89" s="19">
        <f t="shared" ref="BB89:BB98" si="23">AZ89*BA89</f>
        <v>8.1692546472204484E-4</v>
      </c>
      <c r="BC89">
        <f>AZ89*$AZ$39</f>
        <v>1.2281560571242264E-2</v>
      </c>
      <c r="BD89">
        <f>SQRT(BA89^2+$BA$39^2)</f>
        <v>1.1450572525070405E-2</v>
      </c>
      <c r="BE89" s="58"/>
      <c r="BF89" s="58"/>
      <c r="BG89" s="58"/>
      <c r="BH89" s="58"/>
      <c r="BI89" s="58"/>
      <c r="BJ89" s="58"/>
      <c r="BK89" s="58"/>
      <c r="BL89" s="58"/>
      <c r="BM89" s="58"/>
      <c r="BN89" s="58"/>
      <c r="BO89" s="58"/>
      <c r="BP89" s="58"/>
      <c r="BQ89" s="58"/>
      <c r="BR89" s="58"/>
      <c r="BS89" s="58"/>
      <c r="BT89" s="58"/>
      <c r="BU89" s="58"/>
      <c r="BV89" s="58"/>
      <c r="BW89" s="58"/>
      <c r="BX89" s="58"/>
      <c r="BY89" s="58"/>
      <c r="BZ89" s="58"/>
      <c r="CA89" s="58"/>
      <c r="CB89" s="58"/>
      <c r="CC89" s="58"/>
      <c r="CD89" s="58"/>
      <c r="CE89" s="58"/>
      <c r="CF89" s="58"/>
      <c r="CG89" s="58"/>
      <c r="CH89" s="58"/>
      <c r="CI89" s="58"/>
      <c r="CJ89" s="58"/>
      <c r="CK89" s="58"/>
      <c r="CL89" s="58"/>
      <c r="CM89" s="58"/>
      <c r="CN89" s="58"/>
      <c r="CO89" s="58"/>
      <c r="CP89" s="58"/>
      <c r="CQ89" s="58"/>
      <c r="CR89" s="58"/>
      <c r="CS89" s="58"/>
      <c r="CT89" s="58"/>
      <c r="CU89" s="58"/>
      <c r="CV89" s="58"/>
      <c r="CW89" s="58"/>
      <c r="CX89" s="58"/>
      <c r="CY89" s="58"/>
      <c r="CZ89" s="58"/>
      <c r="DA89" s="58"/>
      <c r="DB89" s="58"/>
      <c r="DC89" s="58"/>
      <c r="DD89" s="58"/>
      <c r="DE89" s="58"/>
      <c r="DF89" s="58"/>
      <c r="DG89" s="58"/>
      <c r="DH89" s="58"/>
      <c r="DI89" s="58"/>
      <c r="DJ89" s="58"/>
      <c r="DK89" s="58"/>
      <c r="DL89" s="58"/>
      <c r="DM89" s="58"/>
      <c r="DN89" s="58"/>
      <c r="DO89" s="58"/>
      <c r="DP89" s="58"/>
      <c r="DQ89" s="58"/>
      <c r="DR89" s="58"/>
      <c r="DS89" s="58"/>
      <c r="DT89" s="58"/>
      <c r="DU89" s="58"/>
      <c r="DV89" s="58"/>
      <c r="DW89" s="58"/>
      <c r="DX89" s="58"/>
      <c r="DY89" s="58"/>
    </row>
    <row r="90" spans="1:129" s="54" customFormat="1">
      <c r="A90" s="59">
        <v>44669</v>
      </c>
      <c r="B90" s="40" t="s">
        <v>73</v>
      </c>
      <c r="C90" s="40" t="s">
        <v>81</v>
      </c>
      <c r="D90" s="46" t="s">
        <v>29</v>
      </c>
      <c r="E90" s="40" t="s">
        <v>80</v>
      </c>
      <c r="F90" s="49">
        <v>52000</v>
      </c>
      <c r="G90" s="41"/>
      <c r="H90" s="21">
        <v>4.5646350377091E-2</v>
      </c>
      <c r="I90" s="21">
        <v>2.0523763310863301E-2</v>
      </c>
      <c r="J90" s="19">
        <f t="shared" si="21"/>
        <v>9.3683489114415141E-4</v>
      </c>
      <c r="K90">
        <f>H90*$H$40</f>
        <v>4.9473863788072441E-3</v>
      </c>
      <c r="L90">
        <f>SQRT(I90^2 +$I$40^2)</f>
        <v>2.0661734266091136E-2</v>
      </c>
      <c r="M90" s="58"/>
      <c r="N90" s="54" t="s">
        <v>84</v>
      </c>
      <c r="O90" s="55" t="s">
        <v>29</v>
      </c>
      <c r="P90" s="54" t="s">
        <v>80</v>
      </c>
      <c r="Q90" s="57">
        <v>9000</v>
      </c>
      <c r="R90" s="56"/>
      <c r="V90" s="109">
        <f>S90*$S$40</f>
        <v>0</v>
      </c>
      <c r="W90" s="109">
        <f>SQRT(T90^2 +$T$40^2)</f>
        <v>2.1833965064391087E-3</v>
      </c>
      <c r="X90" s="58"/>
      <c r="Z90" s="55" t="s">
        <v>29</v>
      </c>
      <c r="AA90" s="54" t="s">
        <v>80</v>
      </c>
      <c r="AB90" s="57">
        <v>4000</v>
      </c>
      <c r="AC90" s="56"/>
      <c r="AG90" s="109">
        <f>AD90*$H$40</f>
        <v>0</v>
      </c>
      <c r="AH90" s="109">
        <f>SQRT(AE90^2 +$I$40^2)</f>
        <v>2.3837790254606478E-3</v>
      </c>
      <c r="AI90" s="58"/>
      <c r="AJ90" s="40" t="s">
        <v>90</v>
      </c>
      <c r="AK90" s="46" t="s">
        <v>29</v>
      </c>
      <c r="AL90" s="40" t="s">
        <v>80</v>
      </c>
      <c r="AM90" s="51">
        <v>28600</v>
      </c>
      <c r="AN90" s="41"/>
      <c r="AO90" s="21">
        <v>7.0268663396156797E-2</v>
      </c>
      <c r="AP90" s="21">
        <v>1.3723586496509101E-2</v>
      </c>
      <c r="AQ90" s="19">
        <f t="shared" si="22"/>
        <v>9.6433808011124069E-4</v>
      </c>
      <c r="AR90">
        <f>AO90*$AO$40</f>
        <v>1.1910791166716781E-2</v>
      </c>
      <c r="AS90">
        <f>SQRT(AP90^2 +$AP$40^2)</f>
        <v>1.377439999041111E-2</v>
      </c>
      <c r="AT90" s="21"/>
      <c r="AU90" s="40" t="s">
        <v>92</v>
      </c>
      <c r="AV90" s="46" t="s">
        <v>29</v>
      </c>
      <c r="AW90" s="40" t="s">
        <v>80</v>
      </c>
      <c r="AX90" s="51">
        <v>140000</v>
      </c>
      <c r="AY90" s="41"/>
      <c r="AZ90" s="21">
        <v>6.9853824473638498E-2</v>
      </c>
      <c r="BA90" s="21">
        <v>8.4377607783140806E-3</v>
      </c>
      <c r="BB90" s="19">
        <f t="shared" si="23"/>
        <v>5.894098603589032E-4</v>
      </c>
      <c r="BC90">
        <f>AZ90*$AZ$40</f>
        <v>1.1842494440540219E-2</v>
      </c>
      <c r="BD90">
        <f>SQRT(BA90^2 +$BA$40^2)</f>
        <v>8.4927256160330592E-3</v>
      </c>
      <c r="BE90" s="58"/>
      <c r="BF90" s="58"/>
      <c r="BG90" s="58"/>
      <c r="BH90" s="58"/>
      <c r="BI90" s="58"/>
      <c r="BJ90" s="58"/>
      <c r="BK90" s="58"/>
      <c r="BL90" s="58"/>
      <c r="BM90" s="58"/>
      <c r="BN90" s="58"/>
      <c r="BO90" s="58"/>
      <c r="BP90" s="58"/>
      <c r="BQ90" s="58"/>
      <c r="BR90" s="58"/>
      <c r="BS90" s="58"/>
      <c r="BT90" s="58"/>
      <c r="BU90" s="58"/>
      <c r="BV90" s="58"/>
      <c r="BW90" s="58"/>
      <c r="BX90" s="58"/>
      <c r="BY90" s="58"/>
      <c r="BZ90" s="58"/>
      <c r="CA90" s="58"/>
      <c r="CB90" s="58"/>
      <c r="CC90" s="58"/>
      <c r="CD90" s="58"/>
      <c r="CE90" s="58"/>
      <c r="CF90" s="58"/>
      <c r="CG90" s="58"/>
      <c r="CH90" s="58"/>
      <c r="CI90" s="58"/>
      <c r="CJ90" s="58"/>
      <c r="CK90" s="58"/>
      <c r="CL90" s="58"/>
      <c r="CM90" s="58"/>
      <c r="CN90" s="58"/>
      <c r="CO90" s="58"/>
      <c r="CP90" s="58"/>
      <c r="CQ90" s="58"/>
      <c r="CR90" s="58"/>
      <c r="CS90" s="58"/>
      <c r="CT90" s="58"/>
      <c r="CU90" s="58"/>
      <c r="CV90" s="58"/>
      <c r="CW90" s="58"/>
      <c r="CX90" s="58"/>
      <c r="CY90" s="58"/>
      <c r="CZ90" s="58"/>
      <c r="DA90" s="58"/>
      <c r="DB90" s="58"/>
      <c r="DC90" s="58"/>
      <c r="DD90" s="58"/>
      <c r="DE90" s="58"/>
      <c r="DF90" s="58"/>
      <c r="DG90" s="58"/>
      <c r="DH90" s="58"/>
      <c r="DI90" s="58"/>
      <c r="DJ90" s="58"/>
      <c r="DK90" s="58"/>
      <c r="DL90" s="58"/>
      <c r="DM90" s="58"/>
      <c r="DN90" s="58"/>
      <c r="DO90" s="58"/>
      <c r="DP90" s="58"/>
      <c r="DQ90" s="58"/>
      <c r="DR90" s="58"/>
      <c r="DS90" s="58"/>
      <c r="DT90" s="58"/>
      <c r="DU90" s="58"/>
      <c r="DV90" s="58"/>
      <c r="DW90" s="58"/>
      <c r="DX90" s="58"/>
      <c r="DY90" s="58"/>
    </row>
    <row r="91" spans="1:129">
      <c r="A91" s="59">
        <v>44669</v>
      </c>
      <c r="B91" s="60" t="s">
        <v>74</v>
      </c>
      <c r="C91" s="40" t="s">
        <v>81</v>
      </c>
      <c r="D91" s="46" t="s">
        <v>29</v>
      </c>
      <c r="E91" s="40" t="s">
        <v>80</v>
      </c>
      <c r="F91" s="49">
        <v>75100</v>
      </c>
      <c r="G91" s="41"/>
      <c r="H91" s="21">
        <v>4.8945133358949497E-2</v>
      </c>
      <c r="I91" s="21">
        <v>2.0574336742413001E-2</v>
      </c>
      <c r="J91" s="19">
        <f t="shared" si="21"/>
        <v>1.007013655629339E-3</v>
      </c>
      <c r="K91">
        <f>H91*$H$39</f>
        <v>5.3236614661278858E-3</v>
      </c>
      <c r="L91">
        <f>SQRT(I91^2+$I$39^2)</f>
        <v>2.1010370826699359E-2</v>
      </c>
      <c r="N91" s="40" t="s">
        <v>86</v>
      </c>
      <c r="O91" s="46" t="s">
        <v>29</v>
      </c>
      <c r="P91" s="40" t="s">
        <v>80</v>
      </c>
      <c r="Q91" s="51">
        <v>50000</v>
      </c>
      <c r="R91" s="41"/>
      <c r="S91" s="21">
        <v>6.4856318939465696E-2</v>
      </c>
      <c r="T91" s="21">
        <v>1.30245163960714E-2</v>
      </c>
      <c r="U91">
        <f>S91*T91</f>
        <v>8.4472218941590701E-4</v>
      </c>
      <c r="V91">
        <f>S91*$S$39</f>
        <v>9.8722332613643427E-3</v>
      </c>
      <c r="W91">
        <f>SQRT(T91^2+T41^2)</f>
        <v>1.3670738748191196E-2</v>
      </c>
      <c r="X91" s="21"/>
      <c r="Y91" s="40" t="s">
        <v>87</v>
      </c>
      <c r="Z91" s="46" t="s">
        <v>29</v>
      </c>
      <c r="AA91" s="40" t="s">
        <v>80</v>
      </c>
      <c r="AB91" s="51">
        <v>10000</v>
      </c>
      <c r="AC91" s="41"/>
      <c r="AD91" s="21">
        <v>6.6283026533891301E-2</v>
      </c>
      <c r="AE91" s="21">
        <v>2.0517583937871502E-2</v>
      </c>
      <c r="AF91">
        <f>AD91*AE91</f>
        <v>1.3599675605652788E-3</v>
      </c>
      <c r="AG91">
        <f>AD91*$AD$39</f>
        <v>1.0044673009358499E-2</v>
      </c>
      <c r="AH91">
        <f>SQRT(AE91^2+AE39^2)</f>
        <v>2.0934126810128777E-2</v>
      </c>
      <c r="AI91" s="21"/>
      <c r="AJ91" s="40" t="s">
        <v>90</v>
      </c>
      <c r="AK91" s="46" t="s">
        <v>29</v>
      </c>
      <c r="AL91" s="40" t="s">
        <v>80</v>
      </c>
      <c r="AM91" s="51">
        <v>270000</v>
      </c>
      <c r="AN91" s="41"/>
      <c r="AO91" s="21">
        <v>7.1720552909892599E-2</v>
      </c>
      <c r="AP91" s="21">
        <v>1.1694747363948901E-2</v>
      </c>
      <c r="AQ91" s="19">
        <f t="shared" si="22"/>
        <v>8.3875374708392415E-4</v>
      </c>
      <c r="AR91">
        <f>AO91*$AO$39</f>
        <v>1.2245271105146355E-2</v>
      </c>
      <c r="AS91">
        <f>SQRT(AP91^2+$AP$39^2)</f>
        <v>1.1901830331981363E-2</v>
      </c>
      <c r="AT91" s="21"/>
      <c r="AU91" s="40" t="s">
        <v>92</v>
      </c>
      <c r="AV91" s="46" t="s">
        <v>29</v>
      </c>
      <c r="AW91" s="40" t="s">
        <v>80</v>
      </c>
      <c r="AX91" s="51">
        <v>750000</v>
      </c>
      <c r="AY91" s="41"/>
      <c r="AZ91" s="21">
        <v>7.28156663433292E-2</v>
      </c>
      <c r="BA91" s="21">
        <v>1.02896217024272E-2</v>
      </c>
      <c r="BB91" s="19">
        <f t="shared" si="23"/>
        <v>7.4924566068301801E-4</v>
      </c>
      <c r="BC91">
        <f>AZ91*$AZ$39</f>
        <v>1.2364466702060586E-2</v>
      </c>
      <c r="BD91">
        <f>SQRT(BA91^2+$BA$39^2)</f>
        <v>1.046034860023335E-2</v>
      </c>
    </row>
    <row r="92" spans="1:129">
      <c r="A92" s="59">
        <v>44669</v>
      </c>
      <c r="B92" s="40" t="s">
        <v>75</v>
      </c>
      <c r="C92" s="40" t="s">
        <v>81</v>
      </c>
      <c r="D92" s="46" t="s">
        <v>29</v>
      </c>
      <c r="E92" s="40" t="s">
        <v>80</v>
      </c>
      <c r="F92" s="49">
        <v>134000</v>
      </c>
      <c r="G92" s="41"/>
      <c r="H92" s="21">
        <v>4.5626515124482597E-2</v>
      </c>
      <c r="I92" s="21">
        <v>1.8094972830457402E-2</v>
      </c>
      <c r="J92" s="19">
        <f t="shared" si="21"/>
        <v>8.2561055152596634E-4</v>
      </c>
      <c r="K92">
        <f>H92*$H$40</f>
        <v>4.9452365320448123E-3</v>
      </c>
      <c r="L92">
        <f>SQRT(I92^2 +$I$40^2)</f>
        <v>1.8251313491834432E-2</v>
      </c>
      <c r="N92" s="40" t="s">
        <v>86</v>
      </c>
      <c r="O92" s="46" t="s">
        <v>29</v>
      </c>
      <c r="P92" s="40" t="s">
        <v>80</v>
      </c>
      <c r="Q92" s="51">
        <v>20000</v>
      </c>
      <c r="R92" s="41"/>
      <c r="S92" s="21">
        <v>6.2626611001971394E-2</v>
      </c>
      <c r="T92" s="21">
        <v>1.9994855133842599E-2</v>
      </c>
      <c r="U92">
        <f t="shared" ref="U92:U98" si="24">S92*T92</f>
        <v>1.2522100145079312E-3</v>
      </c>
      <c r="V92">
        <f>S92*$S$40</f>
        <v>9.4193350450611345E-3</v>
      </c>
      <c r="W92">
        <f>SQRT(T92^2 +$I$40^2)</f>
        <v>2.0136450388923512E-2</v>
      </c>
      <c r="X92" s="21"/>
      <c r="Y92" s="40" t="s">
        <v>87</v>
      </c>
      <c r="Z92" s="46" t="s">
        <v>29</v>
      </c>
      <c r="AA92" s="40" t="s">
        <v>80</v>
      </c>
      <c r="AB92" s="51">
        <v>10000</v>
      </c>
      <c r="AC92" s="41"/>
      <c r="AD92" s="21">
        <v>6.18355031935501E-2</v>
      </c>
      <c r="AE92" s="21">
        <v>1.8049456236818001E-2</v>
      </c>
      <c r="AF92">
        <f t="shared" ref="AF92:AF98" si="25">AD92*AE92</f>
        <v>1.1160972087736023E-3</v>
      </c>
      <c r="AG92">
        <f>AD92*$AD$40</f>
        <v>9.3002885756480313E-3</v>
      </c>
      <c r="AH92">
        <f>SQRT(AE92^2 +$AD$40^2)</f>
        <v>0.151482858270967</v>
      </c>
      <c r="AI92" s="21"/>
      <c r="AJ92" s="40" t="s">
        <v>90</v>
      </c>
      <c r="AK92" s="46" t="s">
        <v>29</v>
      </c>
      <c r="AL92" s="40" t="s">
        <v>80</v>
      </c>
      <c r="AM92" s="51">
        <v>57000</v>
      </c>
      <c r="AN92" s="41"/>
      <c r="AO92" s="21">
        <v>6.85351418690089E-2</v>
      </c>
      <c r="AP92" s="21">
        <v>9.5181347902789492E-3</v>
      </c>
      <c r="AQ92" s="19">
        <f t="shared" si="22"/>
        <v>6.523267181801171E-4</v>
      </c>
      <c r="AR92">
        <f>AO92*$AO$40</f>
        <v>1.1616953033259474E-2</v>
      </c>
      <c r="AS92">
        <f>SQRT(AP92^2 +$AP$40^2)</f>
        <v>9.5912542795293029E-3</v>
      </c>
      <c r="AT92" s="21"/>
      <c r="AU92" s="40" t="s">
        <v>92</v>
      </c>
      <c r="AV92" s="46" t="s">
        <v>29</v>
      </c>
      <c r="AW92" s="40" t="s">
        <v>80</v>
      </c>
      <c r="AX92" s="51">
        <v>250000</v>
      </c>
      <c r="AY92" s="41"/>
      <c r="AZ92" s="21">
        <v>6.8164301964457497E-2</v>
      </c>
      <c r="BA92" s="21">
        <v>7.2492621494001904E-3</v>
      </c>
      <c r="BB92" s="19">
        <f t="shared" si="23"/>
        <v>4.9414089417122676E-4</v>
      </c>
      <c r="BC92">
        <f>AZ92*$AZ$40</f>
        <v>1.1556065442945474E-2</v>
      </c>
      <c r="BD92">
        <f>SQRT(BA92^2 +$BA$40^2)</f>
        <v>7.3131650567927796E-3</v>
      </c>
    </row>
    <row r="93" spans="1:129">
      <c r="J93" s="19"/>
      <c r="AQ93" s="19"/>
      <c r="BB93" s="19"/>
    </row>
    <row r="94" spans="1:129">
      <c r="A94" s="42">
        <v>44670</v>
      </c>
      <c r="B94" s="43" t="s">
        <v>76</v>
      </c>
      <c r="C94" s="43" t="s">
        <v>81</v>
      </c>
      <c r="D94" s="47" t="s">
        <v>29</v>
      </c>
      <c r="E94" s="43" t="s">
        <v>80</v>
      </c>
      <c r="F94" s="48">
        <v>211000</v>
      </c>
      <c r="G94" s="44"/>
      <c r="H94" s="21">
        <v>4.6725399333558702E-2</v>
      </c>
      <c r="I94" s="21">
        <v>1.7339346100472199E-2</v>
      </c>
      <c r="J94" s="19">
        <f t="shared" si="21"/>
        <v>8.101878707273474E-4</v>
      </c>
      <c r="K94">
        <f>H94*$H$40</f>
        <v>5.0643392581764075E-3</v>
      </c>
      <c r="L94">
        <f>SQRT(I94^2 +$I$40^2)</f>
        <v>1.7502437705479386E-2</v>
      </c>
      <c r="N94" s="43" t="s">
        <v>88</v>
      </c>
      <c r="O94" s="47" t="s">
        <v>29</v>
      </c>
      <c r="P94" s="43" t="s">
        <v>80</v>
      </c>
      <c r="Q94" s="52">
        <v>30000</v>
      </c>
      <c r="R94" s="44"/>
      <c r="S94" s="21">
        <v>6.4234341105536996E-2</v>
      </c>
      <c r="T94" s="21">
        <v>1.2405200261680601E-2</v>
      </c>
      <c r="U94">
        <f t="shared" si="24"/>
        <v>7.9683986509128846E-4</v>
      </c>
      <c r="V94">
        <f>S94*$S$40</f>
        <v>9.6611451680300841E-3</v>
      </c>
      <c r="W94">
        <f>SQRT(T94^2 +$I$40^2)</f>
        <v>1.2632157217776644E-2</v>
      </c>
      <c r="X94" s="21"/>
      <c r="Y94" s="43" t="s">
        <v>89</v>
      </c>
      <c r="Z94" s="47" t="s">
        <v>29</v>
      </c>
      <c r="AA94" s="43" t="s">
        <v>80</v>
      </c>
      <c r="AB94" s="52">
        <v>15000</v>
      </c>
      <c r="AC94" s="44"/>
      <c r="AD94" s="21">
        <v>6.3557723648269102E-2</v>
      </c>
      <c r="AE94" s="21">
        <v>1.62532036183036E-2</v>
      </c>
      <c r="AF94">
        <f t="shared" si="25"/>
        <v>1.0330166239711878E-3</v>
      </c>
      <c r="AG94">
        <f>AD94*$AD$40</f>
        <v>9.5593169071493626E-3</v>
      </c>
      <c r="AH94">
        <f>SQRT(AE94^2 +$AE$40^2)</f>
        <v>1.6342120486548848E-2</v>
      </c>
      <c r="AI94" s="21"/>
      <c r="AJ94" s="43" t="s">
        <v>91</v>
      </c>
      <c r="AK94" s="47" t="s">
        <v>29</v>
      </c>
      <c r="AL94" s="43" t="s">
        <v>80</v>
      </c>
      <c r="AM94" s="52">
        <v>140000</v>
      </c>
      <c r="AN94" s="44"/>
      <c r="AO94" s="21">
        <v>6.8925430830803602E-2</v>
      </c>
      <c r="AP94" s="21">
        <v>8.6791717006153204E-3</v>
      </c>
      <c r="AQ94" s="19">
        <f t="shared" si="22"/>
        <v>5.9821564871942933E-4</v>
      </c>
      <c r="AR94">
        <f>AO94*$AO$40</f>
        <v>1.168310841595693E-2</v>
      </c>
      <c r="AS94">
        <f>SQRT(AP94^2 +$AP$40^2)</f>
        <v>8.7592973563769654E-3</v>
      </c>
      <c r="AT94" s="21"/>
      <c r="AU94" s="43" t="s">
        <v>92</v>
      </c>
      <c r="AV94" s="47" t="s">
        <v>29</v>
      </c>
      <c r="AW94" s="43" t="s">
        <v>80</v>
      </c>
      <c r="AX94" s="52">
        <v>569000</v>
      </c>
      <c r="AY94" s="44"/>
      <c r="AZ94" s="21">
        <v>7.0106834923424496E-2</v>
      </c>
      <c r="BA94" s="21">
        <v>8.47899950427701E-3</v>
      </c>
      <c r="BB94" s="19">
        <f t="shared" si="23"/>
        <v>5.9443581856214649E-4</v>
      </c>
      <c r="BC94">
        <f>AZ94*$AZ$40</f>
        <v>1.1885387938033976E-2</v>
      </c>
      <c r="BD94">
        <f>SQRT(BA94^2 +$BA$40^2)</f>
        <v>8.5336987309547335E-3</v>
      </c>
    </row>
    <row r="95" spans="1:129">
      <c r="A95" s="42">
        <v>44670</v>
      </c>
      <c r="B95" s="68" t="s">
        <v>77</v>
      </c>
      <c r="C95" s="43" t="s">
        <v>81</v>
      </c>
      <c r="D95" s="47" t="s">
        <v>29</v>
      </c>
      <c r="E95" s="43" t="s">
        <v>80</v>
      </c>
      <c r="F95" s="48">
        <v>150000</v>
      </c>
      <c r="G95" s="44"/>
      <c r="H95" s="21">
        <v>4.5140377501159797E-2</v>
      </c>
      <c r="I95" s="21">
        <v>3.1757118409314201E-2</v>
      </c>
      <c r="J95" s="19">
        <f t="shared" si="21"/>
        <v>1.4335283133454745E-3</v>
      </c>
      <c r="K95">
        <f>H95*$H$39</f>
        <v>4.909825998572954E-3</v>
      </c>
      <c r="L95">
        <f>SQRT(I95^2+$I$39^2)</f>
        <v>3.2041331425963201E-2</v>
      </c>
      <c r="N95" s="43" t="s">
        <v>88</v>
      </c>
      <c r="O95" s="47" t="s">
        <v>29</v>
      </c>
      <c r="P95" s="43" t="s">
        <v>80</v>
      </c>
      <c r="Q95" s="52">
        <v>30000</v>
      </c>
      <c r="R95" s="44"/>
      <c r="S95" s="21">
        <v>6.3229824767220499E-2</v>
      </c>
      <c r="T95" s="21">
        <v>1.51327228178024E-2</v>
      </c>
      <c r="U95">
        <f t="shared" si="24"/>
        <v>9.5683941202056493E-4</v>
      </c>
      <c r="V95">
        <f>S95*$S$39</f>
        <v>9.6246532239952567E-3</v>
      </c>
      <c r="W95">
        <f>SQRT(T95^2+T45^2)</f>
        <v>1.51327228178024E-2</v>
      </c>
      <c r="X95" s="21"/>
      <c r="Y95" s="43" t="s">
        <v>89</v>
      </c>
      <c r="Z95" s="47" t="s">
        <v>29</v>
      </c>
      <c r="AA95" s="43" t="s">
        <v>80</v>
      </c>
      <c r="AB95" s="52">
        <v>9000</v>
      </c>
      <c r="AC95" s="44"/>
      <c r="AD95" s="21">
        <v>6.4039791776516197E-2</v>
      </c>
      <c r="AE95" s="21">
        <v>2.4690570897819699E-2</v>
      </c>
      <c r="AF95">
        <f t="shared" si="25"/>
        <v>1.581179019139684E-3</v>
      </c>
      <c r="AG95">
        <f>AD95*$AD$39</f>
        <v>9.7047283689377824E-3</v>
      </c>
      <c r="AH95">
        <f>SQRT(AE95^2+$AE$39^2)</f>
        <v>2.5037785563328294E-2</v>
      </c>
      <c r="AI95" s="21"/>
      <c r="AJ95" s="43" t="s">
        <v>91</v>
      </c>
      <c r="AK95" s="47" t="s">
        <v>29</v>
      </c>
      <c r="AL95" s="43" t="s">
        <v>80</v>
      </c>
      <c r="AM95" s="52">
        <v>210000</v>
      </c>
      <c r="AN95" s="44"/>
      <c r="AO95" s="21">
        <v>7.2111147437749504E-2</v>
      </c>
      <c r="AP95" s="21">
        <v>1.5240157768632899E-2</v>
      </c>
      <c r="AQ95" s="19">
        <f t="shared" si="22"/>
        <v>1.0989852638284504E-3</v>
      </c>
      <c r="AR95">
        <f>AO95*$AO$39</f>
        <v>1.2311959602261034E-2</v>
      </c>
      <c r="AS95">
        <f>SQRT(AP95^2+$AP$39^2)</f>
        <v>1.5399638247618141E-2</v>
      </c>
      <c r="AT95" s="21"/>
      <c r="AU95" s="43" t="s">
        <v>92</v>
      </c>
      <c r="AV95" s="47" t="s">
        <v>29</v>
      </c>
      <c r="AW95" s="43" t="s">
        <v>80</v>
      </c>
      <c r="AX95" s="52">
        <v>500000</v>
      </c>
      <c r="AY95" s="44"/>
      <c r="AZ95" s="21">
        <v>7.1101498262982399E-2</v>
      </c>
      <c r="BA95" s="21">
        <v>1.01240351284363E-2</v>
      </c>
      <c r="BB95" s="19">
        <f t="shared" si="23"/>
        <v>7.1983406609888638E-4</v>
      </c>
      <c r="BC95">
        <f>AZ95*$AZ$39</f>
        <v>1.2073392332827339E-2</v>
      </c>
      <c r="BD95">
        <f>SQRT(BA95^2+$BA$39^2)</f>
        <v>1.0297507724743653E-2</v>
      </c>
    </row>
    <row r="96" spans="1:129">
      <c r="A96" s="42">
        <v>44670</v>
      </c>
      <c r="B96" s="43" t="s">
        <v>78</v>
      </c>
      <c r="C96" s="43" t="s">
        <v>81</v>
      </c>
      <c r="D96" s="47" t="s">
        <v>29</v>
      </c>
      <c r="E96" s="43" t="s">
        <v>80</v>
      </c>
      <c r="F96" s="48">
        <v>283000</v>
      </c>
      <c r="G96" s="44"/>
      <c r="H96" s="21">
        <v>4.4216566022317598E-2</v>
      </c>
      <c r="I96" s="21">
        <v>1.6574153914710701E-2</v>
      </c>
      <c r="J96" s="19">
        <f t="shared" si="21"/>
        <v>7.3285217083385941E-4</v>
      </c>
      <c r="K96">
        <f>H96*$H$40</f>
        <v>4.792418991863911E-3</v>
      </c>
      <c r="L96">
        <f>SQRT(I96^2 +$I$40^2)</f>
        <v>1.6744700069895136E-2</v>
      </c>
      <c r="N96" s="43" t="s">
        <v>88</v>
      </c>
      <c r="O96" s="47" t="s">
        <v>29</v>
      </c>
      <c r="P96" s="43" t="s">
        <v>80</v>
      </c>
      <c r="Q96" s="52">
        <v>88000</v>
      </c>
      <c r="R96" s="44"/>
      <c r="S96" s="21">
        <v>6.2564443357686406E-2</v>
      </c>
      <c r="T96" s="21">
        <v>1.01015111135684E-2</v>
      </c>
      <c r="U96">
        <f t="shared" si="24"/>
        <v>6.3199541989188992E-4</v>
      </c>
      <c r="V96">
        <f>S96*$S$40</f>
        <v>9.4099847407557637E-3</v>
      </c>
      <c r="W96">
        <f>SQRT(T96^2 +$I$40^2)</f>
        <v>1.0378965710501793E-2</v>
      </c>
      <c r="X96" s="21"/>
      <c r="Y96" s="43" t="s">
        <v>89</v>
      </c>
      <c r="Z96" s="47" t="s">
        <v>29</v>
      </c>
      <c r="AA96" s="43" t="s">
        <v>80</v>
      </c>
      <c r="AB96" s="52">
        <v>27000</v>
      </c>
      <c r="AC96" s="44"/>
      <c r="AD96" s="21">
        <v>6.2870409339797095E-2</v>
      </c>
      <c r="AE96" s="21">
        <v>1.23255062556888E-2</v>
      </c>
      <c r="AF96">
        <f t="shared" si="25"/>
        <v>7.7490962361538465E-4</v>
      </c>
      <c r="AG96">
        <f>AD96*$AD$40</f>
        <v>9.4559422909365129E-3</v>
      </c>
      <c r="AH96">
        <f>SQRT(AE96^2+$AE$39^2)</f>
        <v>1.3007094952908336E-2</v>
      </c>
      <c r="AI96" s="21"/>
      <c r="AJ96" s="43" t="s">
        <v>91</v>
      </c>
      <c r="AK96" s="47" t="s">
        <v>29</v>
      </c>
      <c r="AL96" s="43" t="s">
        <v>80</v>
      </c>
      <c r="AM96" s="52">
        <v>270000</v>
      </c>
      <c r="AN96" s="44"/>
      <c r="AO96" s="21">
        <v>6.9325994514641803E-2</v>
      </c>
      <c r="AP96" s="21">
        <v>8.5976372282438492E-3</v>
      </c>
      <c r="AQ96" s="19">
        <f t="shared" si="22"/>
        <v>5.960397513241132E-4</v>
      </c>
      <c r="AR96">
        <f>AO96*$AO$40</f>
        <v>1.1751005400993768E-2</v>
      </c>
      <c r="AS96">
        <f>SQRT(AP96^2 +$AP$40^2)</f>
        <v>8.6785156955066483E-3</v>
      </c>
      <c r="AT96" s="21"/>
      <c r="AU96" s="43" t="s">
        <v>92</v>
      </c>
      <c r="AV96" s="47" t="s">
        <v>29</v>
      </c>
      <c r="AW96" s="43" t="s">
        <v>80</v>
      </c>
      <c r="AX96" s="52">
        <v>1000000</v>
      </c>
      <c r="AY96" s="44"/>
      <c r="AZ96" s="21">
        <v>6.9465519241169699E-2</v>
      </c>
      <c r="BA96" s="21">
        <v>8.9148895758855602E-3</v>
      </c>
      <c r="BB96" s="19">
        <f t="shared" si="23"/>
        <v>6.1927743336658155E-4</v>
      </c>
      <c r="BC96">
        <f>AZ96*$AZ$40</f>
        <v>1.1776664078474936E-2</v>
      </c>
      <c r="BD96">
        <f>SQRT(BA96^2 +$BA$40^2)</f>
        <v>8.9669302209508511E-3</v>
      </c>
    </row>
    <row r="97" spans="1:56">
      <c r="A97" s="42">
        <v>44670</v>
      </c>
      <c r="B97" s="68" t="s">
        <v>79</v>
      </c>
      <c r="C97" s="43" t="s">
        <v>81</v>
      </c>
      <c r="D97" s="47" t="s">
        <v>29</v>
      </c>
      <c r="E97" s="43" t="s">
        <v>80</v>
      </c>
      <c r="F97" s="48">
        <v>150000</v>
      </c>
      <c r="G97" s="44"/>
      <c r="H97" s="21">
        <v>4.7018458380369901E-2</v>
      </c>
      <c r="I97" s="21">
        <v>1.9529903240291999E-2</v>
      </c>
      <c r="J97" s="19">
        <f t="shared" si="21"/>
        <v>9.1826594267632061E-4</v>
      </c>
      <c r="K97">
        <f>H97*$H$39</f>
        <v>5.1141009922398015E-3</v>
      </c>
      <c r="L97">
        <f>SQRT(I97^2+$I$39^2)</f>
        <v>1.9988733588208681E-2</v>
      </c>
      <c r="N97" s="43" t="s">
        <v>88</v>
      </c>
      <c r="O97" s="47" t="s">
        <v>29</v>
      </c>
      <c r="P97" s="43" t="s">
        <v>80</v>
      </c>
      <c r="Q97" s="52">
        <v>200000</v>
      </c>
      <c r="R97" s="44"/>
      <c r="S97" s="21">
        <v>6.0219485479135297E-2</v>
      </c>
      <c r="T97" s="21">
        <v>1.2152570154357599E-2</v>
      </c>
      <c r="U97">
        <f t="shared" si="24"/>
        <v>7.3182152194451041E-4</v>
      </c>
      <c r="V97">
        <f>S97*$S$39</f>
        <v>9.166428456789999E-3</v>
      </c>
      <c r="W97">
        <f>SQRT(T97^2+T47^2)</f>
        <v>1.2152570154357599E-2</v>
      </c>
      <c r="X97" s="21"/>
      <c r="Y97" s="43" t="s">
        <v>89</v>
      </c>
      <c r="Z97" s="47" t="s">
        <v>29</v>
      </c>
      <c r="AA97" s="43" t="s">
        <v>80</v>
      </c>
      <c r="AB97" s="52">
        <v>60000</v>
      </c>
      <c r="AC97" s="44"/>
      <c r="AD97" s="21">
        <v>5.9440878135275599E-2</v>
      </c>
      <c r="AE97" s="21">
        <v>1.39282391203199E-2</v>
      </c>
      <c r="AF97">
        <f t="shared" si="25"/>
        <v>8.2790676418991339E-4</v>
      </c>
      <c r="AG97">
        <f>AD97*$AD$39</f>
        <v>9.0077990622936411E-3</v>
      </c>
      <c r="AH97">
        <f>SQRT(AE97^2+$AE$39^2)</f>
        <v>1.4534863592334104E-2</v>
      </c>
      <c r="AI97" s="21"/>
      <c r="AJ97" s="43" t="s">
        <v>91</v>
      </c>
      <c r="AK97" s="47" t="s">
        <v>29</v>
      </c>
      <c r="AL97" s="43" t="s">
        <v>80</v>
      </c>
      <c r="AM97" s="52">
        <v>824000</v>
      </c>
      <c r="AN97" s="44"/>
      <c r="AO97" s="21">
        <v>6.68901094184184E-2</v>
      </c>
      <c r="AP97" s="21">
        <v>1.28814822398248E-2</v>
      </c>
      <c r="AQ97" s="19">
        <f t="shared" si="22"/>
        <v>8.6164375649329427E-4</v>
      </c>
      <c r="AR97">
        <f>AO97*$AO$39</f>
        <v>1.1420541125924005E-2</v>
      </c>
      <c r="AS97">
        <f>SQRT(AP97^2+$AP$39^2)</f>
        <v>1.3069775592549538E-2</v>
      </c>
      <c r="AT97" s="21"/>
      <c r="AU97" s="43" t="s">
        <v>92</v>
      </c>
      <c r="AV97" s="47" t="s">
        <v>29</v>
      </c>
      <c r="AW97" s="43" t="s">
        <v>80</v>
      </c>
      <c r="AX97" s="52">
        <v>2700000</v>
      </c>
      <c r="AY97" s="44"/>
      <c r="AZ97" s="21">
        <v>6.66200390516892E-2</v>
      </c>
      <c r="BA97" s="21">
        <v>1.20141250268172E-2</v>
      </c>
      <c r="BB97" s="19">
        <f t="shared" si="23"/>
        <v>8.0038147845843842E-4</v>
      </c>
      <c r="BC97">
        <f>AZ97*$AZ$39</f>
        <v>1.131241799890567E-2</v>
      </c>
      <c r="BD97">
        <f>SQRT(BA97^2+$BA$39^2)</f>
        <v>1.216066520463985E-2</v>
      </c>
    </row>
    <row r="98" spans="1:56">
      <c r="A98" s="42">
        <v>44670</v>
      </c>
      <c r="B98" s="43" t="s">
        <v>82</v>
      </c>
      <c r="C98" s="43" t="s">
        <v>81</v>
      </c>
      <c r="D98" s="47" t="s">
        <v>29</v>
      </c>
      <c r="E98" s="43" t="s">
        <v>80</v>
      </c>
      <c r="F98" s="48">
        <v>542000</v>
      </c>
      <c r="G98" s="44"/>
      <c r="H98" s="21">
        <v>4.2783693342432497E-2</v>
      </c>
      <c r="I98" s="21">
        <v>1.6679102642111001E-2</v>
      </c>
      <c r="J98" s="19">
        <f t="shared" si="21"/>
        <v>7.1359361266703266E-4</v>
      </c>
      <c r="K98">
        <f>H98*$H$40</f>
        <v>4.637116876350501E-3</v>
      </c>
      <c r="L98">
        <f>SQRT(I98^2 +$I$40^2)</f>
        <v>1.6848586510099305E-2</v>
      </c>
      <c r="N98" s="43" t="s">
        <v>88</v>
      </c>
      <c r="O98" s="47" t="s">
        <v>29</v>
      </c>
      <c r="P98" s="43" t="s">
        <v>80</v>
      </c>
      <c r="Q98" s="52">
        <v>200000</v>
      </c>
      <c r="R98" s="44"/>
      <c r="S98" s="21">
        <v>5.9382330856842698E-2</v>
      </c>
      <c r="T98" s="21">
        <v>9.2624485979917407E-3</v>
      </c>
      <c r="U98">
        <f t="shared" si="24"/>
        <v>5.5002578719044433E-4</v>
      </c>
      <c r="V98">
        <f>S98*$S$40</f>
        <v>8.9313801457285673E-3</v>
      </c>
      <c r="W98">
        <f>SQRT(T98^2 +$I$40^2)</f>
        <v>9.5642750103008475E-3</v>
      </c>
      <c r="X98" s="21"/>
      <c r="Y98" s="43" t="s">
        <v>89</v>
      </c>
      <c r="Z98" s="47" t="s">
        <v>29</v>
      </c>
      <c r="AA98" s="43" t="s">
        <v>80</v>
      </c>
      <c r="AB98" s="52">
        <v>70000</v>
      </c>
      <c r="AC98" s="44"/>
      <c r="AD98" s="21">
        <v>6.0701677591695299E-2</v>
      </c>
      <c r="AE98" s="21">
        <v>9.1256472781225204E-3</v>
      </c>
      <c r="AF98">
        <f t="shared" si="25"/>
        <v>5.5394209889212504E-4</v>
      </c>
      <c r="AG98">
        <f>AD98*$AD$40</f>
        <v>9.129757008067816E-3</v>
      </c>
      <c r="AH98">
        <f>SQRT(AE98^2 +$AE$40^2)</f>
        <v>9.2830874381073947E-3</v>
      </c>
      <c r="AI98" s="21"/>
      <c r="AJ98" s="43" t="s">
        <v>91</v>
      </c>
      <c r="AK98" s="47" t="s">
        <v>29</v>
      </c>
      <c r="AL98" s="43" t="s">
        <v>80</v>
      </c>
      <c r="AM98" s="52">
        <v>714000</v>
      </c>
      <c r="AN98" s="44"/>
      <c r="AO98" s="21">
        <v>6.7247000600252502E-2</v>
      </c>
      <c r="AP98" s="21">
        <v>9.0668419293206803E-3</v>
      </c>
      <c r="AQ98" s="19">
        <f t="shared" si="22"/>
        <v>6.0971792466342229E-4</v>
      </c>
      <c r="AR98">
        <f>AO98*$AO$40</f>
        <v>1.1398608455408486E-2</v>
      </c>
      <c r="AS98">
        <f>SQRT(AP98^2 +$AP$40^2)</f>
        <v>9.1435710387112006E-3</v>
      </c>
      <c r="AT98" s="21"/>
      <c r="AU98" s="43" t="s">
        <v>92</v>
      </c>
      <c r="AV98" s="47" t="s">
        <v>29</v>
      </c>
      <c r="AW98" s="43" t="s">
        <v>80</v>
      </c>
      <c r="AX98" s="52">
        <v>2460000</v>
      </c>
      <c r="AY98" s="44"/>
      <c r="AZ98" s="21">
        <v>6.8394164407253696E-2</v>
      </c>
      <c r="BA98" s="21">
        <v>1.0022438401842E-2</v>
      </c>
      <c r="BB98" s="19">
        <f t="shared" si="23"/>
        <v>6.8547629981715479E-4</v>
      </c>
      <c r="BC98">
        <f>AZ98*$AZ$40</f>
        <v>1.1595034600631755E-2</v>
      </c>
      <c r="BD98">
        <f>SQRT(BA98^2 +$BA$40^2)</f>
        <v>1.0068756276516275E-2</v>
      </c>
    </row>
    <row r="99" spans="1:56">
      <c r="G99" s="65"/>
      <c r="H99" s="63" t="s">
        <v>96</v>
      </c>
      <c r="I99" s="63" t="s">
        <v>100</v>
      </c>
      <c r="K99" s="1"/>
      <c r="L99" s="1"/>
      <c r="M99" s="1"/>
      <c r="R99" s="65"/>
      <c r="S99" s="63" t="s">
        <v>96</v>
      </c>
      <c r="T99" s="63" t="s">
        <v>100</v>
      </c>
      <c r="AC99" s="65"/>
      <c r="AD99" s="63" t="s">
        <v>96</v>
      </c>
      <c r="AE99" s="63" t="s">
        <v>100</v>
      </c>
      <c r="AN99" s="65"/>
      <c r="AO99" s="63" t="s">
        <v>96</v>
      </c>
      <c r="AP99" s="63" t="s">
        <v>100</v>
      </c>
      <c r="AY99" s="65"/>
      <c r="AZ99" s="63" t="s">
        <v>96</v>
      </c>
      <c r="BA99" s="63" t="s">
        <v>100</v>
      </c>
    </row>
    <row r="100" spans="1:56">
      <c r="G100" s="65" t="s">
        <v>94</v>
      </c>
      <c r="H100" s="64">
        <f>SUM(H89/I89^2,H91/I91^2,H95/I95^2,H97/I97^2)/SUM(1/I89^2,1/I91^2,1/I95^2,1/I97^2)</f>
        <v>4.7441175931834424E-2</v>
      </c>
      <c r="I100" s="64">
        <f>SQRT(1/SUM(1/I89^2,1/I91^2,1/I95^2,1/I97^2))</f>
        <v>1.2489975118931611E-2</v>
      </c>
      <c r="R100" s="65" t="s">
        <v>94</v>
      </c>
      <c r="S100" s="64">
        <f>SUM(S91/T91^2,S95/T95^2,S97/T97^2)/SUM(1/T91^2,1/T95^2,1/T97^2)</f>
        <v>6.2596022469955132E-2</v>
      </c>
      <c r="T100" s="64">
        <f>SQRT(1/SUM(1/T91^2,1/T95^2,1/T97^2))</f>
        <v>7.6622390421092193E-3</v>
      </c>
      <c r="AC100" s="65" t="s">
        <v>94</v>
      </c>
      <c r="AD100" s="64">
        <f>SUM(AD91/AE91^2,AD95/AE95^2,AD97/AE97^2)/SUM(1/AE91^2,1/AE95^2,1/AE97^2)</f>
        <v>6.2035821563326439E-2</v>
      </c>
      <c r="AE100" s="64">
        <f>SQRT(1/SUM(1/AE91^2,1/AE95^2,1/AE97^2))</f>
        <v>1.0442440125590766E-2</v>
      </c>
      <c r="AN100" s="65" t="s">
        <v>94</v>
      </c>
      <c r="AO100" s="64">
        <f>SUM(AO89/AP89^2,AO91/AP91^2,AO95/AP95^2,AO97/AP97^2)/SUM(1/AP89^2,1/AP91^2,1/AP95^2,1/AP97^2)</f>
        <v>7.0547503423016827E-2</v>
      </c>
      <c r="AP100" s="64">
        <f>SQRT(1/SUM(1/AP89^2,1/AP91^2,1/AP95^2,1/AP97^2))</f>
        <v>6.7497971477388317E-3</v>
      </c>
      <c r="AY100" s="65" t="s">
        <v>94</v>
      </c>
      <c r="AZ100" s="64">
        <f>SUM(AZ89/BA89^2,AZ91/BA91^2,AZ95/BA95^2,AZ97/BA97^2)/SUM(1/BA89^2,1/BA91^2,1/BA95^2,1/BA97^2)</f>
        <v>7.0946994259343601E-2</v>
      </c>
      <c r="BA100" s="64">
        <f>SQRT(1/SUM(1/BA89^2,1/BA91^2,1/BA95^2,1/BA97^2))</f>
        <v>5.4257973917776654E-3</v>
      </c>
    </row>
    <row r="101" spans="1:56">
      <c r="G101" s="65" t="s">
        <v>101</v>
      </c>
      <c r="H101" s="63">
        <f>H100*H39</f>
        <v>5.1600791107032605E-3</v>
      </c>
      <c r="I101" s="63">
        <f>SQRT(I100^2+I39^2)</f>
        <v>1.3195901953134718E-2</v>
      </c>
      <c r="R101" s="65" t="s">
        <v>101</v>
      </c>
      <c r="S101" s="63">
        <f>S100*S39</f>
        <v>9.5281777498624678E-3</v>
      </c>
      <c r="T101" s="63">
        <f>SQRT(T100^2+T39^2)</f>
        <v>8.4376393264855645E-3</v>
      </c>
      <c r="AC101" s="65" t="s">
        <v>101</v>
      </c>
      <c r="AD101" s="63">
        <f>AD100*AD39</f>
        <v>9.4010423943437695E-3</v>
      </c>
      <c r="AE101" s="63">
        <f>SQRT(AE100^2+AE39^2)</f>
        <v>1.1238815348225002E-2</v>
      </c>
      <c r="AN101" s="65" t="s">
        <v>101</v>
      </c>
      <c r="AO101" s="63">
        <f>AO100*AO39</f>
        <v>1.2044989478698307E-2</v>
      </c>
      <c r="AP101" s="63">
        <f>SQRT(AP100^2+AP39^2)</f>
        <v>7.1025496042129216E-3</v>
      </c>
      <c r="AY101" s="65" t="s">
        <v>101</v>
      </c>
      <c r="AZ101" s="63">
        <f>AZ100*AZ39</f>
        <v>1.2047156775230166E-2</v>
      </c>
      <c r="BA101" s="63">
        <f>SQRT(BA100^2+BA39^2)</f>
        <v>5.7429831443217994E-3</v>
      </c>
    </row>
    <row r="102" spans="1:56">
      <c r="G102" s="65" t="s">
        <v>95</v>
      </c>
      <c r="H102" s="64">
        <f>SUM(H88/I88^2,H90/I90^2,H92/I92^2,H94/I94^2,H96/I96^2,H98/I98^2)/SUM(1/I88^2,1/I90^2,1/I92^2,1/I94^2,1/I96^2,1/I98^2)</f>
        <v>4.493894860502206E-2</v>
      </c>
      <c r="I102" s="64">
        <f>SQRT(1/SUM(1/I88^2,1/I90^2,1/I92^2,1/I94^2,1/I96^2,1/I98^2))</f>
        <v>7.1890873552242019E-3</v>
      </c>
      <c r="R102" s="65" t="s">
        <v>95</v>
      </c>
      <c r="S102" s="64">
        <f>SUM(S92/T92^2,S94/T94^2,S96/T96^2,S98/T98^2)/SUM(1/T92^2,1/T94^2,1/T96^2,1/T98^2)</f>
        <v>6.1707986766258528E-2</v>
      </c>
      <c r="T102" s="64">
        <f>SQRT(1/SUM(1/T92^2,1/T94^2,1/T96^2,1/T98^2))</f>
        <v>5.7301675265726557E-3</v>
      </c>
      <c r="AC102" s="65" t="s">
        <v>95</v>
      </c>
      <c r="AD102" s="64">
        <f>SUM(AD92/AE92^2,AD94/AE94^2,AD96/AE96^2,AD98/AE98^2)/SUM(1/AE92^2,1/AE94^2,1/AE96^2,1/AE98^2)</f>
        <v>6.1824368503826534E-2</v>
      </c>
      <c r="AE102" s="64">
        <f>SQRT(1/SUM(1/AE92^2,1/AE94^2,1/AE96^2,1/AE98^2))</f>
        <v>6.268937428738605E-3</v>
      </c>
      <c r="AN102" s="65" t="s">
        <v>95</v>
      </c>
      <c r="AO102" s="64">
        <f>SUM(AO88/AP88^2,AO90/AP90^2,AO92/AP92^2,AO94/AP94^2,AO96/AP96^2,AO98/AP98^2)/SUM(1/AP88^2,1/AP90^2,1/AP92^2,1/AP94^2,1/AP96^2,1/AP98^2)</f>
        <v>6.889802843281001E-2</v>
      </c>
      <c r="AP102" s="64">
        <f>SQRT(1/SUM(1/AP88^2,1/AP90^2,1/AP92^2,1/AP94^2,1/AP96^2,1/AP98^2))</f>
        <v>3.825416682318717E-3</v>
      </c>
      <c r="AY102" s="65" t="s">
        <v>95</v>
      </c>
      <c r="AZ102" s="64">
        <f>SUM(AZ88/BA88^2,AZ90/BA90^2,AZ92/BA92^2,AZ94/BA94^2,AZ96/BA96^2,AZ98/BA98^2)/SUM(1/BA88^2,1/BA90^2,1/BA92^2,1/BA94^2,1/BA96^2,1/BA98^2)</f>
        <v>6.9287464896773523E-2</v>
      </c>
      <c r="BA102" s="64">
        <f>SQRT(1/SUM(1/BA88^2,1/BA90^2,1/BA92^2,1/BA94^2,1/BA96^2,1/BA98^2))</f>
        <v>3.4987210335575714E-3</v>
      </c>
    </row>
    <row r="103" spans="1:56">
      <c r="G103" s="65" t="s">
        <v>102</v>
      </c>
      <c r="H103" s="63">
        <f>H102*H40</f>
        <v>4.8707145340142711E-3</v>
      </c>
      <c r="I103" s="63">
        <f>SQRT(I102^2+I40^2)</f>
        <v>7.5739936257743596E-3</v>
      </c>
      <c r="R103" s="65" t="s">
        <v>102</v>
      </c>
      <c r="S103" s="63">
        <f>S102*S40</f>
        <v>9.2811696658676099E-3</v>
      </c>
      <c r="T103" s="63">
        <f>SQRT(T102^2+T40^2)</f>
        <v>6.1320502433458816E-3</v>
      </c>
      <c r="AC103" s="65" t="s">
        <v>102</v>
      </c>
      <c r="AD103" s="63">
        <f>AD102*AD40</f>
        <v>9.2986138770965315E-3</v>
      </c>
      <c r="AE103" s="63">
        <f>SQRT(AE102^2+AE40^2)</f>
        <v>6.4959872709452054E-3</v>
      </c>
      <c r="AN103" s="65" t="s">
        <v>102</v>
      </c>
      <c r="AO103" s="63">
        <f>AO102*AO40</f>
        <v>1.1678463610944361E-2</v>
      </c>
      <c r="AP103" s="63">
        <f>SQRT(AP102^2+AP40^2)</f>
        <v>4.0038833102418224E-3</v>
      </c>
      <c r="AY103" s="65" t="s">
        <v>102</v>
      </c>
      <c r="AZ103" s="63">
        <f>AZ102*AZ40</f>
        <v>1.174647807793002E-2</v>
      </c>
      <c r="BA103" s="63">
        <f>SQRT(BA102^2+BA40^2)</f>
        <v>3.6292740744984842E-3</v>
      </c>
    </row>
    <row r="104" spans="1:56">
      <c r="G104" s="65" t="s">
        <v>103</v>
      </c>
      <c r="H104" s="64">
        <f>H101/H103</f>
        <v>1.0594090609638962</v>
      </c>
      <c r="I104" s="64">
        <f>SQRT(I101^2+I103^2)</f>
        <v>1.521503229704148E-2</v>
      </c>
      <c r="R104" s="65" t="s">
        <v>103</v>
      </c>
      <c r="S104" s="64">
        <f>S101/S103</f>
        <v>1.0266138959729671</v>
      </c>
      <c r="T104" s="64">
        <f>SQRT(T101^2+T103^2)</f>
        <v>1.0430522402582436E-2</v>
      </c>
      <c r="AC104" s="65" t="s">
        <v>103</v>
      </c>
      <c r="AD104" s="64">
        <f>AD101/AD103</f>
        <v>1.011015460863423</v>
      </c>
      <c r="AE104" s="64">
        <f>SQRT(AE101^2+AE103^2)</f>
        <v>1.2981094755673729E-2</v>
      </c>
      <c r="AN104" s="65" t="s">
        <v>103</v>
      </c>
      <c r="AO104" s="64">
        <f>AO101/AO103</f>
        <v>1.0313847677198276</v>
      </c>
      <c r="AP104" s="64">
        <f>SQRT(AP101^2+AP103^2)</f>
        <v>8.1533608065838797E-3</v>
      </c>
      <c r="AY104" s="65" t="s">
        <v>103</v>
      </c>
      <c r="AZ104" s="64">
        <f>AZ101/AZ103</f>
        <v>1.0255973488653658</v>
      </c>
      <c r="BA104" s="64">
        <f>SQRT(BA101^2+BA103^2)</f>
        <v>6.7936356764100271E-3</v>
      </c>
    </row>
    <row r="105" spans="1:56">
      <c r="G105" s="65" t="s">
        <v>104</v>
      </c>
      <c r="H105" s="64">
        <f>1000*(H104-1)</f>
        <v>59.409060963896195</v>
      </c>
      <c r="I105" s="64">
        <f>I104*1000</f>
        <v>15.21503229704148</v>
      </c>
      <c r="R105" s="65" t="s">
        <v>104</v>
      </c>
      <c r="S105" s="64">
        <f>(S104-1)*1000</f>
        <v>26.61389597296715</v>
      </c>
      <c r="T105" s="64">
        <f>T104*1000</f>
        <v>10.430522402582435</v>
      </c>
      <c r="AC105" s="65" t="s">
        <v>104</v>
      </c>
      <c r="AD105" s="64">
        <f>(AD104-1)*1000</f>
        <v>11.015460863422977</v>
      </c>
      <c r="AE105" s="64">
        <f>AE104*1000</f>
        <v>12.981094755673729</v>
      </c>
      <c r="AN105" s="65" t="s">
        <v>104</v>
      </c>
      <c r="AO105" s="64">
        <f>1000*(AO104-1)</f>
        <v>31.384767719827565</v>
      </c>
      <c r="AP105" s="64">
        <f>AP104*1000</f>
        <v>8.1533608065838798</v>
      </c>
      <c r="AY105" s="65" t="s">
        <v>104</v>
      </c>
      <c r="AZ105" s="64">
        <f>1000*(AZ104-1)</f>
        <v>25.597348865365799</v>
      </c>
      <c r="BA105" s="64">
        <f>BA104*1000</f>
        <v>6.7936356764100267</v>
      </c>
    </row>
    <row r="106" spans="1:56">
      <c r="G106" s="66"/>
      <c r="R106" s="66"/>
      <c r="AC106" s="66"/>
      <c r="AN106" s="66"/>
      <c r="AY106" s="66"/>
    </row>
    <row r="107" spans="1:56" ht="21" thickBot="1">
      <c r="F107" s="108" t="s">
        <v>159</v>
      </c>
      <c r="G107" s="106"/>
      <c r="H107" s="63" t="s">
        <v>96</v>
      </c>
      <c r="I107" s="63" t="s">
        <v>100</v>
      </c>
      <c r="Q107" s="108" t="s">
        <v>159</v>
      </c>
      <c r="R107" s="106"/>
      <c r="S107" s="63" t="s">
        <v>96</v>
      </c>
      <c r="T107" s="63" t="s">
        <v>100</v>
      </c>
      <c r="AB107" s="108" t="s">
        <v>159</v>
      </c>
      <c r="AC107" s="106"/>
      <c r="AD107" s="63" t="s">
        <v>96</v>
      </c>
      <c r="AE107" s="63" t="s">
        <v>100</v>
      </c>
      <c r="AM107" s="108" t="s">
        <v>159</v>
      </c>
      <c r="AN107" s="106"/>
      <c r="AO107" s="63" t="s">
        <v>96</v>
      </c>
      <c r="AP107" s="63" t="s">
        <v>100</v>
      </c>
      <c r="AX107" s="108" t="s">
        <v>159</v>
      </c>
      <c r="AY107" s="106"/>
      <c r="AZ107" s="63" t="s">
        <v>96</v>
      </c>
      <c r="BA107" s="63" t="s">
        <v>100</v>
      </c>
    </row>
    <row r="108" spans="1:56" ht="17" thickTop="1">
      <c r="G108" s="106" t="s">
        <v>94</v>
      </c>
      <c r="H108" s="107">
        <f>SUM(H71/I71^2,H73/I73^2,H75/I75^2,K89/L89^2,K91/L91^2,K95/L95^2,K97/L97^2)/SUM(1/I71^2,1/I73^2,1/I75^2,1/L89^2,1/L91^2,1/L95^2,1/L97^2)</f>
        <v>4.9832921146250658E-3</v>
      </c>
      <c r="I108" s="107">
        <f>SQRT(1/SUM(1/I71^2,1/I73^2,1/I75^2,1/L89^2,1/L91^2,1/L95^2,1/L97^2))</f>
        <v>1.0707259268393205E-2</v>
      </c>
      <c r="R108" s="106" t="s">
        <v>94</v>
      </c>
      <c r="S108" s="107">
        <f>SUM(S71/T71^2,S73/T73^2,S75/T75^2,V91/W91^2,V95/W95^2,V97/W97^2)/SUM(1/T71^2,1/T73^2,1/T75^2,1/W91^2,1/W95^2,1/W97^2)</f>
        <v>9.6840837738836668E-3</v>
      </c>
      <c r="T108" s="107">
        <f>SQRT(1/SUM(1/T71^2,1/T73^2,1/T75^2,1/W91^2,1/W95^2,1/W97^2))</f>
        <v>6.6561635149401102E-3</v>
      </c>
      <c r="AC108" s="106" t="s">
        <v>94</v>
      </c>
      <c r="AD108" s="107">
        <f>SUM(AD71/AE71^2,AD73/AE73^2,AD75/AE75^2,AG91/AH91^2,AG95/AH95^2,AG97/AH97^2)/SUM(1/AE71^2,1/AE73^2,1/AE75^2,1/AH91^2,1/AH95^2,1/AH97^2)</f>
        <v>9.6733529951766924E-3</v>
      </c>
      <c r="AE108" s="107">
        <f>SQRT(1/SUM(1/AE71^2,1/AE73^2,1/AE75^2,1/AH91^2,1/AH95^2,1/AH97^2))</f>
        <v>8.7555743171897783E-3</v>
      </c>
      <c r="AN108" s="106" t="s">
        <v>94</v>
      </c>
      <c r="AO108" s="107">
        <f>SUM(AO71/AP71^2,AO73/AP73^2,AO75/AP75^2,AR89/AS89^2,AR91/AS91^2,AR95/AS95^2,AR97/AS97^2)/SUM(1/AP71^2,1/AP73^2,1/AP75^2,1/AS89^2,1/AS91^2,1/AS95^2,1/AS97^2)</f>
        <v>1.253037790718772E-2</v>
      </c>
      <c r="AP108" s="107">
        <f>SQRT(1/SUM(1/AP71^2,1/AP73^2,1/AP75^2,1/AS89^2,1/AS91^2,1/AS95^2,1/AS97^2))</f>
        <v>5.032070905026503E-3</v>
      </c>
      <c r="AY108" s="106" t="s">
        <v>94</v>
      </c>
      <c r="AZ108" s="107">
        <f>SUM(AZ71/BA71^2,AZ73/BA73^2,AZ75/BA75^2,BC89/BD89^2,BC91/BD91^2,BC95/BD95^2,BC97/BD97^2)/SUM(1/BA71^2,1/BA73^2,1/BA75^2,1/BD89^2,1/BD91^2,1/BD95^2,1/BD97^2)</f>
        <v>1.2420586462036415E-2</v>
      </c>
      <c r="BA108" s="107">
        <f>SQRT(1/SUM(1/BA71^2,1/BA73^2,1/BA75^2,1/BD89^2,1/BD91^2,1/BD95^2,1/BD97^2))</f>
        <v>3.8610485070341744E-3</v>
      </c>
    </row>
    <row r="109" spans="1:56">
      <c r="G109" s="106" t="s">
        <v>95</v>
      </c>
      <c r="H109" s="107">
        <f>SUM(H69/I69^2,H70/I70^2,H72/I72^2,H74/I74^2,H76/I76^2,H77/I77^2,K88/L88^2,K90/L90^2,K92/L92^2,K94/L94^2,K96/L96^2,K98/L98^2)/SUM(1/I69^2,1/I70^2,1/I72^2,1/I74^2,1/I76^2,1/I77^2,1/L88^2,1/L90^2,1/L92^2,1/L94^2,1/L96^2,1/L98^2)</f>
        <v>4.7796161712970742E-3</v>
      </c>
      <c r="I109" s="107">
        <f>SQRT(1/SUM(1/I69^2,1/I70^2,1/I72^2,1/I74^2,1/I76^2,1/I77^2,1/L88^2,1/L90^2,1/L92^2,1/L94^2,1/L96^2,1/L98^2))</f>
        <v>5.9838119391137298E-3</v>
      </c>
      <c r="R109" s="106" t="s">
        <v>95</v>
      </c>
      <c r="S109" s="107">
        <f>SUM(S69/T69^2,S70/T70^2,S72/T72^2,S74/T74^2,S76/T76^2,S77/T77^2,V92/W92^2,V94/W94^2,V96/W96^2,V98/W98^2)/SUM(1/T69^2,1/T70^2,1/T72^2,1/T74^2,1/T76^2,1/T77^2,1/W92^2,1/W94^2,1/W96^2,1/W98^2)</f>
        <v>9.5019803987612048E-3</v>
      </c>
      <c r="T109" s="107">
        <f>SQRT(1/SUM(1/T69^2,1/T70^2,1/T72^2,1/T74^2,1/T76^2,1/T77^2,1/W92^2,1/W94^2,1/W96^2,1/W98^2))</f>
        <v>4.5585766615958969E-3</v>
      </c>
      <c r="AC109" s="106" t="s">
        <v>95</v>
      </c>
      <c r="AD109" s="107">
        <f>SUM(AD69/AE69^2,AD70/AE70^2,AD72/AE72^2,AD74/AE74^2,AD76/AE76^2,AD77/AE77^2,AG92/AH92^2,AG94/AH94^2,AG96/AH96^2,AG98/AH98^2)/SUM(1/AE69^2,1/AE70^2,1/AE72^2,1/AE74^2,1/AE76^2,1/AE77^2,1/AH92^2,1/AH94^2,1/AH96^2,1/AH98^2)</f>
        <v>9.5016990107643518E-3</v>
      </c>
      <c r="AE109" s="107">
        <f>SQRT(1/SUM(1/AE69^2,1/AE70^2,1/AE72^2,1/AE74^2,1/AE76^2,1/AE77^2,1/AH92^2,1/AH94^2,1/AH96^2,1/AH98^2))</f>
        <v>4.3308090064732218E-3</v>
      </c>
      <c r="AN109" s="106" t="s">
        <v>95</v>
      </c>
      <c r="AO109" s="107">
        <f>SUM(AO69/AP69^2,AO70/AP70^2,AO72/AP72^2,AO74/AP74^2,AO76/AP76^2,AO77/AP77^2,AR88/AS88^2,AR90/AS90^2,AR92/AS92^2,AR94/AS94^2,AR96/AS96^2,AR98/AS98^2)/SUM(1/AP69^2,1/AP70^2,1/AP72^2,1/AP74^2,1/AP76^2,1/AP77^2,1/AS88^2,1/AS90^2,1/AS92^2,1/AS94^2,1/AS96^2,1/AS98^2)</f>
        <v>1.2243663544170075E-2</v>
      </c>
      <c r="AP109" s="107">
        <f>SQRT(1/SUM(1/AP69^2,1/AP70^2,1/AP72^2,1/AP74^2,1/AP76^2,1/AP77^2,1/AS88^2,1/AS90^2,1/AS92^2,1/AS94^2,1/AS96^2,1/AS98^2))</f>
        <v>2.5481018425751612E-3</v>
      </c>
      <c r="AY109" s="106" t="s">
        <v>95</v>
      </c>
      <c r="AZ109" s="107">
        <f>SUM(AZ69/BA69^2,AZ70/BA70^2,AZ72/BA72^2,AZ74/BA74^2,AZ76/BA76^2,AZ77/BA77^2,BC88/BD88^2,BC90/BD90^2,BC92/BD92^2,BC94/BD94^2,BC96/BD96^2,BC98/BD98^2)/SUM(1/BA69^2,1/BA70^2,1/BA72^2,1/BA74^2,1/BA76^2,1/BA77^2,1/BD88^2,1/BD90^2,1/BD92^2,1/BD94^2,1/BD96^2,1/BD98^2)</f>
        <v>1.2244172031591444E-2</v>
      </c>
      <c r="BA109" s="107">
        <f>SQRT(1/SUM(1/BA69^2,1/BA70^2,1/BA72^2,1/BA74^2,1/BA76^2,1/BA77^2,1/BD88^2,1/BD90^2,1/BD92^2,1/BD94^2,1/BD96^2,1/BD98^2))</f>
        <v>2.3233953224474041E-3</v>
      </c>
    </row>
    <row r="110" spans="1:56">
      <c r="G110" s="106" t="s">
        <v>158</v>
      </c>
      <c r="H110" s="107">
        <f>H108/H109</f>
        <v>1.0426134517978918</v>
      </c>
      <c r="I110" s="107">
        <f>SQRT(I108^2+I109^2)</f>
        <v>1.2265863457713534E-2</v>
      </c>
      <c r="J110" s="8" t="s">
        <v>160</v>
      </c>
      <c r="R110" s="106" t="s">
        <v>158</v>
      </c>
      <c r="S110" s="107">
        <f>S108/S109</f>
        <v>1.0191647811803741</v>
      </c>
      <c r="T110" s="107">
        <f>SQRT(T108^2+T109^2)</f>
        <v>8.0675358020443066E-3</v>
      </c>
      <c r="U110" s="8" t="s">
        <v>160</v>
      </c>
      <c r="AC110" s="106" t="s">
        <v>158</v>
      </c>
      <c r="AD110" s="107">
        <f>AD108/AD109</f>
        <v>1.0180656095523417</v>
      </c>
      <c r="AE110" s="107">
        <f>SQRT(AE108^2+AE109^2)</f>
        <v>9.7681107832775331E-3</v>
      </c>
      <c r="AF110" s="8" t="s">
        <v>160</v>
      </c>
      <c r="AN110" s="106" t="s">
        <v>158</v>
      </c>
      <c r="AO110" s="107">
        <f>AO108/AO109</f>
        <v>1.0234173670309787</v>
      </c>
      <c r="AP110" s="107">
        <f>SQRT(AP108^2+AP109^2)</f>
        <v>5.6404397517701745E-3</v>
      </c>
      <c r="AQ110" s="8" t="s">
        <v>160</v>
      </c>
      <c r="AY110" s="106" t="s">
        <v>158</v>
      </c>
      <c r="AZ110" s="107">
        <f>AZ108/AZ109</f>
        <v>1.0144080326533962</v>
      </c>
      <c r="BA110" s="107">
        <f>SQRT(BA108^2+BA109^2)</f>
        <v>4.5062025473830295E-3</v>
      </c>
      <c r="BB110" s="8" t="s">
        <v>160</v>
      </c>
    </row>
    <row r="111" spans="1:56">
      <c r="G111" s="106" t="s">
        <v>110</v>
      </c>
      <c r="H111" s="107">
        <f>(H110-1)*1000</f>
        <v>42.613451797891777</v>
      </c>
      <c r="I111" s="107">
        <f>I110*1000</f>
        <v>12.265863457713534</v>
      </c>
      <c r="J111" s="8">
        <f>H111-H42*2</f>
        <v>35.549823747965448</v>
      </c>
      <c r="R111" s="106" t="s">
        <v>110</v>
      </c>
      <c r="S111" s="107">
        <f>(S110-1)*1000</f>
        <v>19.164781180374124</v>
      </c>
      <c r="T111" s="107">
        <f>T110*1000</f>
        <v>8.067535802044306</v>
      </c>
      <c r="U111" s="8">
        <f>S111-S42*2</f>
        <v>-4.9343294991857078</v>
      </c>
      <c r="AC111" s="106" t="s">
        <v>110</v>
      </c>
      <c r="AD111" s="107">
        <f>(AD110-1)*1000</f>
        <v>18.065609552341712</v>
      </c>
      <c r="AE111" s="107">
        <f>AE110*1000</f>
        <v>9.7681107832775336</v>
      </c>
      <c r="AF111" s="8">
        <f>AD111-AD42*2</f>
        <v>2.9269093521520091</v>
      </c>
      <c r="AN111" s="106" t="s">
        <v>110</v>
      </c>
      <c r="AO111" s="107">
        <f>(AO110-1)*1000</f>
        <v>23.417367030978742</v>
      </c>
      <c r="AP111" s="107">
        <f>AP110*1000</f>
        <v>5.6404397517701748</v>
      </c>
      <c r="AQ111" s="8">
        <f>AO111-AO42*2</f>
        <v>8.8775575798716311</v>
      </c>
      <c r="AY111" s="106" t="s">
        <v>110</v>
      </c>
      <c r="AZ111" s="107">
        <f>(AZ110-1)*1000</f>
        <v>14.408032653396186</v>
      </c>
      <c r="BA111" s="107">
        <f>BA110*1000</f>
        <v>4.5062025473830296</v>
      </c>
      <c r="BB111" s="8">
        <f>AZ111-AZ42*2</f>
        <v>11.193067746707586</v>
      </c>
    </row>
    <row r="112" spans="1:56" ht="29">
      <c r="A112" s="14" t="s">
        <v>70</v>
      </c>
    </row>
    <row r="113" spans="1:129" s="54" customFormat="1">
      <c r="A113" s="59">
        <v>44669</v>
      </c>
      <c r="B113" s="40" t="s">
        <v>71</v>
      </c>
      <c r="C113" s="40" t="s">
        <v>81</v>
      </c>
      <c r="D113" s="46" t="s">
        <v>29</v>
      </c>
      <c r="E113" s="40" t="s">
        <v>80</v>
      </c>
      <c r="F113" s="46" t="s">
        <v>29</v>
      </c>
      <c r="G113" s="41"/>
      <c r="H113" s="21">
        <v>7.2521027941231204E-3</v>
      </c>
      <c r="I113" s="21">
        <v>4.22534492252888E-2</v>
      </c>
      <c r="J113" s="19">
        <f>H113*I113</f>
        <v>3.0642635718805631E-4</v>
      </c>
      <c r="K113" s="58"/>
      <c r="L113" s="58"/>
      <c r="M113" s="58"/>
      <c r="O113" s="55" t="s">
        <v>29</v>
      </c>
      <c r="P113" s="54" t="s">
        <v>80</v>
      </c>
      <c r="Q113" s="55" t="s">
        <v>29</v>
      </c>
      <c r="R113" s="56"/>
      <c r="U113" s="58"/>
      <c r="V113" s="58"/>
      <c r="W113" s="58"/>
      <c r="X113" s="58"/>
      <c r="Z113" s="55" t="s">
        <v>29</v>
      </c>
      <c r="AA113" s="54" t="s">
        <v>80</v>
      </c>
      <c r="AB113" s="55" t="s">
        <v>29</v>
      </c>
      <c r="AC113" s="56"/>
      <c r="AF113" s="58"/>
      <c r="AG113" s="58"/>
      <c r="AH113" s="58"/>
      <c r="AI113" s="58"/>
      <c r="AJ113" s="40" t="s">
        <v>90</v>
      </c>
      <c r="AK113" s="46" t="s">
        <v>29</v>
      </c>
      <c r="AL113" s="40" t="s">
        <v>80</v>
      </c>
      <c r="AM113" s="51">
        <v>76000</v>
      </c>
      <c r="AN113" s="41"/>
      <c r="AO113" s="21">
        <v>1.1466501732700401E-2</v>
      </c>
      <c r="AP113" s="21">
        <v>2.1013634443211499E-2</v>
      </c>
      <c r="AQ113" s="19">
        <f>AO113*AP113</f>
        <v>2.4095287575341746E-4</v>
      </c>
      <c r="AR113" s="21"/>
      <c r="AS113" s="21"/>
      <c r="AT113" s="21"/>
      <c r="AU113" s="40" t="s">
        <v>92</v>
      </c>
      <c r="AV113" s="46" t="s">
        <v>29</v>
      </c>
      <c r="AW113" s="40" t="s">
        <v>80</v>
      </c>
      <c r="AX113" s="51">
        <v>300000</v>
      </c>
      <c r="AY113" s="41"/>
      <c r="AZ113" s="21">
        <v>1.21912164018519E-2</v>
      </c>
      <c r="BA113" s="21">
        <v>2.1125738980495599E-2</v>
      </c>
      <c r="BB113" s="19">
        <f>AZ113*BA113</f>
        <v>2.5754845556026E-4</v>
      </c>
      <c r="BC113" s="58"/>
      <c r="BD113" s="58"/>
      <c r="BE113" s="58"/>
      <c r="BF113" s="58"/>
      <c r="BG113" s="58"/>
      <c r="BH113" s="58"/>
      <c r="BI113" s="58"/>
      <c r="BJ113" s="58"/>
      <c r="BK113" s="58"/>
      <c r="BL113" s="58"/>
      <c r="BM113" s="58"/>
      <c r="BN113" s="58"/>
      <c r="BO113" s="58"/>
      <c r="BP113" s="58"/>
      <c r="BQ113" s="58"/>
      <c r="BR113" s="58"/>
      <c r="BS113" s="58"/>
      <c r="BT113" s="58"/>
      <c r="BU113" s="58"/>
      <c r="BV113" s="58"/>
      <c r="BW113" s="58"/>
      <c r="BX113" s="58"/>
      <c r="BY113" s="58"/>
      <c r="BZ113" s="58"/>
      <c r="CA113" s="58"/>
      <c r="CB113" s="58"/>
      <c r="CC113" s="58"/>
      <c r="CD113" s="58"/>
      <c r="CE113" s="58"/>
      <c r="CF113" s="58"/>
      <c r="CG113" s="58"/>
      <c r="CH113" s="58"/>
      <c r="CI113" s="58"/>
      <c r="CJ113" s="58"/>
      <c r="CK113" s="58"/>
      <c r="CL113" s="58"/>
      <c r="CM113" s="58"/>
      <c r="CN113" s="58"/>
      <c r="CO113" s="58"/>
      <c r="CP113" s="58"/>
      <c r="CQ113" s="58"/>
      <c r="CR113" s="58"/>
      <c r="CS113" s="58"/>
      <c r="CT113" s="58"/>
      <c r="CU113" s="58"/>
      <c r="CV113" s="58"/>
      <c r="CW113" s="58"/>
      <c r="CX113" s="58"/>
      <c r="CY113" s="58"/>
      <c r="CZ113" s="58"/>
      <c r="DA113" s="58"/>
      <c r="DB113" s="58"/>
      <c r="DC113" s="58"/>
      <c r="DD113" s="58"/>
      <c r="DE113" s="58"/>
      <c r="DF113" s="58"/>
      <c r="DG113" s="58"/>
      <c r="DH113" s="58"/>
      <c r="DI113" s="58"/>
      <c r="DJ113" s="58"/>
      <c r="DK113" s="58"/>
      <c r="DL113" s="58"/>
      <c r="DM113" s="58"/>
      <c r="DN113" s="58"/>
      <c r="DO113" s="58"/>
      <c r="DP113" s="58"/>
      <c r="DQ113" s="58"/>
      <c r="DR113" s="58"/>
      <c r="DS113" s="58"/>
      <c r="DT113" s="58"/>
      <c r="DU113" s="58"/>
      <c r="DV113" s="58"/>
      <c r="DW113" s="58"/>
      <c r="DX113" s="58"/>
    </row>
    <row r="114" spans="1:129" s="54" customFormat="1">
      <c r="A114" s="59">
        <v>44669</v>
      </c>
      <c r="B114" s="60" t="s">
        <v>72</v>
      </c>
      <c r="C114" s="40" t="s">
        <v>81</v>
      </c>
      <c r="D114" s="46" t="s">
        <v>29</v>
      </c>
      <c r="E114" s="40" t="s">
        <v>80</v>
      </c>
      <c r="F114" s="46" t="s">
        <v>29</v>
      </c>
      <c r="G114" s="41"/>
      <c r="H114" s="21">
        <v>7.1160199108257398E-3</v>
      </c>
      <c r="I114" s="21">
        <v>0.120994955199714</v>
      </c>
      <c r="J114" s="19">
        <f t="shared" ref="J114:J123" si="26">H114*I114</f>
        <v>8.6100251031063319E-4</v>
      </c>
      <c r="K114" s="58"/>
      <c r="L114" s="58"/>
      <c r="M114" s="58"/>
      <c r="O114" s="55" t="s">
        <v>29</v>
      </c>
      <c r="P114" s="54" t="s">
        <v>80</v>
      </c>
      <c r="Q114" s="55" t="s">
        <v>29</v>
      </c>
      <c r="R114" s="56"/>
      <c r="U114" s="58"/>
      <c r="V114" s="58"/>
      <c r="W114" s="58"/>
      <c r="X114" s="58"/>
      <c r="Z114" s="55" t="s">
        <v>29</v>
      </c>
      <c r="AA114" s="54" t="s">
        <v>80</v>
      </c>
      <c r="AB114" s="55" t="s">
        <v>29</v>
      </c>
      <c r="AC114" s="56"/>
      <c r="AF114" s="58"/>
      <c r="AG114" s="58"/>
      <c r="AH114" s="58"/>
      <c r="AI114" s="58"/>
      <c r="AJ114" s="40" t="s">
        <v>90</v>
      </c>
      <c r="AK114" s="46" t="s">
        <v>29</v>
      </c>
      <c r="AL114" s="40" t="s">
        <v>80</v>
      </c>
      <c r="AM114" s="51">
        <v>40000</v>
      </c>
      <c r="AN114" s="41"/>
      <c r="AO114" s="21">
        <v>1.1937489450985101E-2</v>
      </c>
      <c r="AP114" s="21">
        <v>3.6390758061982803E-2</v>
      </c>
      <c r="AQ114" s="19">
        <f t="shared" ref="AQ114:AQ123" si="27">AO114*AP114</f>
        <v>4.3441429047827071E-4</v>
      </c>
      <c r="AR114" s="21"/>
      <c r="AS114" s="21"/>
      <c r="AT114" s="21"/>
      <c r="AU114" s="40" t="s">
        <v>92</v>
      </c>
      <c r="AV114" s="46" t="s">
        <v>29</v>
      </c>
      <c r="AW114" s="40" t="s">
        <v>80</v>
      </c>
      <c r="AX114" s="51">
        <v>128000</v>
      </c>
      <c r="AY114" s="41"/>
      <c r="AZ114" s="21">
        <v>1.0836169698111501E-2</v>
      </c>
      <c r="BA114" s="21">
        <v>2.8331509794399402E-2</v>
      </c>
      <c r="BB114" s="19">
        <f t="shared" ref="BB114:BB123" si="28">AZ114*BA114</f>
        <v>3.0700504793581998E-4</v>
      </c>
      <c r="BC114" s="58"/>
      <c r="BD114" s="58"/>
      <c r="BE114" s="58"/>
      <c r="BF114" s="58"/>
      <c r="BG114" s="58"/>
      <c r="BH114" s="58"/>
      <c r="BI114" s="58"/>
      <c r="BJ114" s="58"/>
      <c r="BK114" s="58"/>
      <c r="BL114" s="58"/>
      <c r="BM114" s="58"/>
      <c r="BN114" s="58"/>
      <c r="BO114" s="58"/>
      <c r="BP114" s="58"/>
      <c r="BQ114" s="58"/>
      <c r="BR114" s="58"/>
      <c r="BS114" s="58"/>
      <c r="BT114" s="58"/>
      <c r="BU114" s="58"/>
      <c r="BV114" s="58"/>
      <c r="BW114" s="58"/>
      <c r="BX114" s="58"/>
      <c r="BY114" s="58"/>
      <c r="BZ114" s="58"/>
      <c r="CA114" s="58"/>
      <c r="CB114" s="58"/>
      <c r="CC114" s="58"/>
      <c r="CD114" s="58"/>
      <c r="CE114" s="58"/>
      <c r="CF114" s="58"/>
      <c r="CG114" s="58"/>
      <c r="CH114" s="58"/>
      <c r="CI114" s="58"/>
      <c r="CJ114" s="58"/>
      <c r="CK114" s="58"/>
      <c r="CL114" s="58"/>
      <c r="CM114" s="58"/>
      <c r="CN114" s="58"/>
      <c r="CO114" s="58"/>
      <c r="CP114" s="58"/>
      <c r="CQ114" s="58"/>
      <c r="CR114" s="58"/>
      <c r="CS114" s="58"/>
      <c r="CT114" s="58"/>
      <c r="CU114" s="58"/>
      <c r="CV114" s="58"/>
      <c r="CW114" s="58"/>
      <c r="CX114" s="58"/>
      <c r="CY114" s="58"/>
      <c r="CZ114" s="58"/>
      <c r="DA114" s="58"/>
      <c r="DB114" s="58"/>
      <c r="DC114" s="58"/>
      <c r="DD114" s="58"/>
      <c r="DE114" s="58"/>
      <c r="DF114" s="58"/>
      <c r="DG114" s="58"/>
      <c r="DH114" s="58"/>
      <c r="DI114" s="58"/>
      <c r="DJ114" s="58"/>
      <c r="DK114" s="58"/>
      <c r="DL114" s="58"/>
      <c r="DM114" s="58"/>
      <c r="DN114" s="58"/>
      <c r="DO114" s="58"/>
      <c r="DP114" s="58"/>
      <c r="DQ114" s="58"/>
      <c r="DR114" s="58"/>
      <c r="DS114" s="58"/>
      <c r="DT114" s="58"/>
      <c r="DU114" s="58"/>
      <c r="DV114" s="58"/>
      <c r="DW114" s="58"/>
      <c r="DX114" s="58"/>
    </row>
    <row r="115" spans="1:129" s="54" customFormat="1">
      <c r="A115" s="59">
        <v>44669</v>
      </c>
      <c r="B115" s="40" t="s">
        <v>73</v>
      </c>
      <c r="C115" s="40" t="s">
        <v>81</v>
      </c>
      <c r="D115" s="46" t="s">
        <v>29</v>
      </c>
      <c r="E115" s="40" t="s">
        <v>80</v>
      </c>
      <c r="F115" s="46" t="s">
        <v>29</v>
      </c>
      <c r="G115" s="41"/>
      <c r="H115" s="21">
        <v>8.1922948203845599E-3</v>
      </c>
      <c r="I115" s="21">
        <v>4.7570368401903401E-2</v>
      </c>
      <c r="J115" s="19">
        <f t="shared" si="26"/>
        <v>3.8971048266269858E-4</v>
      </c>
      <c r="K115" s="58"/>
      <c r="L115" s="58"/>
      <c r="M115" s="58"/>
      <c r="O115" s="55" t="s">
        <v>29</v>
      </c>
      <c r="P115" s="54" t="s">
        <v>80</v>
      </c>
      <c r="Q115" s="55" t="s">
        <v>29</v>
      </c>
      <c r="R115" s="56"/>
      <c r="U115" s="58"/>
      <c r="V115" s="58"/>
      <c r="W115" s="58"/>
      <c r="X115" s="58"/>
      <c r="Z115" s="55" t="s">
        <v>29</v>
      </c>
      <c r="AA115" s="54" t="s">
        <v>80</v>
      </c>
      <c r="AB115" s="55" t="s">
        <v>29</v>
      </c>
      <c r="AC115" s="56"/>
      <c r="AF115" s="58"/>
      <c r="AG115" s="58"/>
      <c r="AH115" s="58"/>
      <c r="AI115" s="58"/>
      <c r="AJ115" s="40" t="s">
        <v>90</v>
      </c>
      <c r="AK115" s="46" t="s">
        <v>29</v>
      </c>
      <c r="AL115" s="40" t="s">
        <v>80</v>
      </c>
      <c r="AM115" s="51">
        <v>28600</v>
      </c>
      <c r="AN115" s="41"/>
      <c r="AO115" s="21">
        <v>1.24624602974339E-2</v>
      </c>
      <c r="AP115" s="21">
        <v>3.1694918275369598E-2</v>
      </c>
      <c r="AQ115" s="19">
        <f t="shared" si="27"/>
        <v>3.9499666063720575E-4</v>
      </c>
      <c r="AR115" s="21"/>
      <c r="AS115" s="21"/>
      <c r="AT115" s="21"/>
      <c r="AU115" s="40" t="s">
        <v>92</v>
      </c>
      <c r="AV115" s="46" t="s">
        <v>29</v>
      </c>
      <c r="AW115" s="40" t="s">
        <v>80</v>
      </c>
      <c r="AX115" s="51">
        <v>140000</v>
      </c>
      <c r="AY115" s="41"/>
      <c r="AZ115" s="21">
        <v>1.26345012506232E-2</v>
      </c>
      <c r="BA115" s="21">
        <v>1.9302225703960198E-2</v>
      </c>
      <c r="BB115" s="19">
        <f t="shared" si="28"/>
        <v>2.438739947964964E-4</v>
      </c>
      <c r="BC115" s="58"/>
      <c r="BD115" s="58"/>
      <c r="BE115" s="58"/>
      <c r="BF115" s="58"/>
      <c r="BG115" s="58"/>
      <c r="BH115" s="58"/>
      <c r="BI115" s="58"/>
      <c r="BJ115" s="58"/>
      <c r="BK115" s="58"/>
      <c r="BL115" s="58"/>
      <c r="BM115" s="58"/>
      <c r="BN115" s="58"/>
      <c r="BO115" s="58"/>
      <c r="BP115" s="58"/>
      <c r="BQ115" s="58"/>
      <c r="BR115" s="58"/>
      <c r="BS115" s="58"/>
      <c r="BT115" s="58"/>
      <c r="BU115" s="58"/>
      <c r="BV115" s="58"/>
      <c r="BW115" s="58"/>
      <c r="BX115" s="58"/>
      <c r="BY115" s="58"/>
      <c r="BZ115" s="58"/>
      <c r="CA115" s="58"/>
      <c r="CB115" s="58"/>
      <c r="CC115" s="58"/>
      <c r="CD115" s="58"/>
      <c r="CE115" s="58"/>
      <c r="CF115" s="58"/>
      <c r="CG115" s="58"/>
      <c r="CH115" s="58"/>
      <c r="CI115" s="58"/>
      <c r="CJ115" s="58"/>
      <c r="CK115" s="58"/>
      <c r="CL115" s="58"/>
      <c r="CM115" s="58"/>
      <c r="CN115" s="58"/>
      <c r="CO115" s="58"/>
      <c r="CP115" s="58"/>
      <c r="CQ115" s="58"/>
      <c r="CR115" s="58"/>
      <c r="CS115" s="58"/>
      <c r="CT115" s="58"/>
      <c r="CU115" s="58"/>
      <c r="CV115" s="58"/>
      <c r="CW115" s="58"/>
      <c r="CX115" s="58"/>
      <c r="CY115" s="58"/>
      <c r="CZ115" s="58"/>
      <c r="DA115" s="58"/>
      <c r="DB115" s="58"/>
      <c r="DC115" s="58"/>
      <c r="DD115" s="58"/>
      <c r="DE115" s="58"/>
      <c r="DF115" s="58"/>
      <c r="DG115" s="58"/>
      <c r="DH115" s="58"/>
      <c r="DI115" s="58"/>
      <c r="DJ115" s="58"/>
      <c r="DK115" s="58"/>
      <c r="DL115" s="58"/>
      <c r="DM115" s="58"/>
      <c r="DN115" s="58"/>
      <c r="DO115" s="58"/>
      <c r="DP115" s="58"/>
      <c r="DQ115" s="58"/>
      <c r="DR115" s="58"/>
      <c r="DS115" s="58"/>
      <c r="DT115" s="58"/>
      <c r="DU115" s="58"/>
      <c r="DV115" s="58"/>
      <c r="DW115" s="58"/>
      <c r="DX115" s="58"/>
      <c r="DY115" s="58"/>
    </row>
    <row r="116" spans="1:129">
      <c r="A116" s="59">
        <v>44669</v>
      </c>
      <c r="B116" s="60" t="s">
        <v>74</v>
      </c>
      <c r="C116" s="40" t="s">
        <v>81</v>
      </c>
      <c r="D116" s="46" t="s">
        <v>29</v>
      </c>
      <c r="E116" s="40" t="s">
        <v>80</v>
      </c>
      <c r="F116" s="46" t="s">
        <v>29</v>
      </c>
      <c r="G116" s="41"/>
      <c r="H116" s="21">
        <v>7.2614073627228701E-3</v>
      </c>
      <c r="I116" s="21">
        <v>5.2343759544617799E-2</v>
      </c>
      <c r="J116" s="19">
        <f t="shared" si="26"/>
        <v>3.8008936094988317E-4</v>
      </c>
      <c r="N116" s="40" t="s">
        <v>86</v>
      </c>
      <c r="O116" s="46" t="s">
        <v>29</v>
      </c>
      <c r="P116" s="40" t="s">
        <v>80</v>
      </c>
      <c r="Q116" s="46" t="s">
        <v>29</v>
      </c>
      <c r="R116" s="41"/>
      <c r="S116" s="21">
        <v>4.5426708571304703E-3</v>
      </c>
      <c r="T116" s="21">
        <v>4.7799219782225302E-2</v>
      </c>
      <c r="U116">
        <f>S116*T116</f>
        <v>2.1713612269828915E-4</v>
      </c>
      <c r="V116" s="21"/>
      <c r="W116" s="21"/>
      <c r="X116" s="21"/>
      <c r="Y116" s="40" t="s">
        <v>87</v>
      </c>
      <c r="Z116" s="46" t="s">
        <v>29</v>
      </c>
      <c r="AA116" s="40" t="s">
        <v>80</v>
      </c>
      <c r="AB116" s="46" t="s">
        <v>29</v>
      </c>
      <c r="AC116" s="41"/>
      <c r="AD116" s="21">
        <v>4.42598231207335E-3</v>
      </c>
      <c r="AE116" s="21">
        <v>7.7062885814691506E-2</v>
      </c>
      <c r="AF116">
        <f>AD116*AE116</f>
        <v>3.410789695331529E-4</v>
      </c>
      <c r="AG116" s="21"/>
      <c r="AH116" s="21"/>
      <c r="AI116" s="21"/>
      <c r="AJ116" s="40" t="s">
        <v>90</v>
      </c>
      <c r="AK116" s="46" t="s">
        <v>29</v>
      </c>
      <c r="AL116" s="40" t="s">
        <v>80</v>
      </c>
      <c r="AM116" s="51">
        <v>270000</v>
      </c>
      <c r="AN116" s="41"/>
      <c r="AO116" s="21">
        <v>1.1937489450985101E-2</v>
      </c>
      <c r="AP116" s="21">
        <v>3.6390758061982803E-2</v>
      </c>
      <c r="AQ116" s="19">
        <f t="shared" si="27"/>
        <v>4.3441429047827071E-4</v>
      </c>
      <c r="AR116" s="21"/>
      <c r="AS116" s="21"/>
      <c r="AT116" s="21"/>
      <c r="AU116" s="40" t="s">
        <v>92</v>
      </c>
      <c r="AV116" s="46" t="s">
        <v>29</v>
      </c>
      <c r="AW116" s="40" t="s">
        <v>80</v>
      </c>
      <c r="AX116" s="51">
        <v>750000</v>
      </c>
      <c r="AY116" s="41"/>
      <c r="AZ116" s="21">
        <v>1.2885570324866801E-2</v>
      </c>
      <c r="BA116" s="21">
        <v>2.3767179063246598E-2</v>
      </c>
      <c r="BB116" s="19">
        <f t="shared" si="28"/>
        <v>3.0625365724316591E-4</v>
      </c>
    </row>
    <row r="117" spans="1:129">
      <c r="A117" s="59">
        <v>44669</v>
      </c>
      <c r="B117" s="40" t="s">
        <v>75</v>
      </c>
      <c r="C117" s="40" t="s">
        <v>81</v>
      </c>
      <c r="D117" s="46" t="s">
        <v>29</v>
      </c>
      <c r="E117" s="40" t="s">
        <v>80</v>
      </c>
      <c r="F117" s="46" t="s">
        <v>29</v>
      </c>
      <c r="G117" s="41"/>
      <c r="H117" s="21">
        <v>6.9789526609321303E-3</v>
      </c>
      <c r="I117" s="21">
        <v>4.5403921237506903E-2</v>
      </c>
      <c r="J117" s="19">
        <f t="shared" si="26"/>
        <v>3.1687181693725166E-4</v>
      </c>
      <c r="N117" s="40" t="s">
        <v>86</v>
      </c>
      <c r="O117" s="46" t="s">
        <v>29</v>
      </c>
      <c r="P117" s="40" t="s">
        <v>80</v>
      </c>
      <c r="Q117" s="46" t="s">
        <v>29</v>
      </c>
      <c r="R117" s="41"/>
      <c r="S117" s="21">
        <v>8.0795286563066903E-3</v>
      </c>
      <c r="T117" s="21">
        <v>5.4220280307462398E-2</v>
      </c>
      <c r="U117">
        <f t="shared" ref="U117:U123" si="29">S117*T117</f>
        <v>4.3807430849712378E-4</v>
      </c>
      <c r="V117" s="21"/>
      <c r="W117" s="21"/>
      <c r="X117" s="21"/>
      <c r="Y117" s="40" t="s">
        <v>87</v>
      </c>
      <c r="Z117" s="46" t="s">
        <v>29</v>
      </c>
      <c r="AA117" s="40" t="s">
        <v>80</v>
      </c>
      <c r="AB117" s="46" t="s">
        <v>29</v>
      </c>
      <c r="AC117" s="41"/>
      <c r="AD117" s="21">
        <v>8.4364946564328205E-3</v>
      </c>
      <c r="AE117" s="21">
        <v>4.7620912223693801E-2</v>
      </c>
      <c r="AF117">
        <f t="shared" ref="AF117:AF123" si="30">AD117*AE117</f>
        <v>4.0175357150964915E-4</v>
      </c>
      <c r="AG117" s="21"/>
      <c r="AH117" s="21"/>
      <c r="AI117" s="21"/>
      <c r="AJ117" s="40" t="s">
        <v>90</v>
      </c>
      <c r="AK117" s="46" t="s">
        <v>29</v>
      </c>
      <c r="AL117" s="40" t="s">
        <v>80</v>
      </c>
      <c r="AM117" s="51">
        <v>57000</v>
      </c>
      <c r="AN117" s="41"/>
      <c r="AO117" s="21">
        <v>1.2889705434265999E-2</v>
      </c>
      <c r="AP117" s="21">
        <v>2.1368482730912599E-2</v>
      </c>
      <c r="AQ117" s="19">
        <f t="shared" si="27"/>
        <v>2.7543344797866328E-4</v>
      </c>
      <c r="AR117" s="21"/>
      <c r="AS117" s="21"/>
      <c r="AT117" s="21"/>
      <c r="AU117" s="40" t="s">
        <v>92</v>
      </c>
      <c r="AV117" s="46" t="s">
        <v>29</v>
      </c>
      <c r="AW117" s="40" t="s">
        <v>80</v>
      </c>
      <c r="AX117" s="51">
        <v>250000</v>
      </c>
      <c r="AY117" s="41"/>
      <c r="AZ117" s="21">
        <v>1.2417431861229299E-2</v>
      </c>
      <c r="BA117" s="21">
        <v>1.65354944324217E-2</v>
      </c>
      <c r="BB117" s="19">
        <f t="shared" si="28"/>
        <v>2.053283754063329E-4</v>
      </c>
    </row>
    <row r="118" spans="1:129">
      <c r="J118" s="19"/>
      <c r="AQ118" s="19"/>
      <c r="BB118" s="19"/>
    </row>
    <row r="119" spans="1:129">
      <c r="A119" s="42">
        <v>44670</v>
      </c>
      <c r="B119" s="43" t="s">
        <v>76</v>
      </c>
      <c r="C119" s="43" t="s">
        <v>81</v>
      </c>
      <c r="D119" s="47" t="s">
        <v>29</v>
      </c>
      <c r="E119" s="43" t="s">
        <v>80</v>
      </c>
      <c r="F119" s="47" t="s">
        <v>29</v>
      </c>
      <c r="G119" s="44"/>
      <c r="H119" s="21">
        <v>7.6938971456556801E-3</v>
      </c>
      <c r="I119" s="21">
        <v>4.1926052224909999E-2</v>
      </c>
      <c r="J119" s="19">
        <f t="shared" si="26"/>
        <v>3.2257473354184603E-4</v>
      </c>
      <c r="N119" s="43" t="s">
        <v>88</v>
      </c>
      <c r="O119" s="47" t="s">
        <v>29</v>
      </c>
      <c r="P119" s="43" t="s">
        <v>80</v>
      </c>
      <c r="Q119" s="47" t="s">
        <v>29</v>
      </c>
      <c r="R119" s="44"/>
      <c r="S119" s="21">
        <v>8.2802756318233993E-3</v>
      </c>
      <c r="T119" s="21">
        <v>3.3630786263231897E-2</v>
      </c>
      <c r="U119">
        <f t="shared" si="29"/>
        <v>2.7847217997450019E-4</v>
      </c>
      <c r="V119" s="21"/>
      <c r="W119" s="21"/>
      <c r="X119" s="21"/>
      <c r="Y119" s="43" t="s">
        <v>89</v>
      </c>
      <c r="Z119" s="47" t="s">
        <v>29</v>
      </c>
      <c r="AA119" s="43" t="s">
        <v>80</v>
      </c>
      <c r="AB119" s="47" t="s">
        <v>29</v>
      </c>
      <c r="AC119" s="44"/>
      <c r="AD119" s="21">
        <v>8.6765514744291897E-3</v>
      </c>
      <c r="AE119" s="21">
        <v>4.2839559755963E-2</v>
      </c>
      <c r="AF119">
        <f t="shared" si="30"/>
        <v>3.7169964536449814E-4</v>
      </c>
      <c r="AG119" s="21"/>
      <c r="AH119" s="21"/>
      <c r="AI119" s="21"/>
      <c r="AJ119" s="43" t="s">
        <v>91</v>
      </c>
      <c r="AK119" s="47" t="s">
        <v>29</v>
      </c>
      <c r="AL119" s="43" t="s">
        <v>80</v>
      </c>
      <c r="AM119" s="52">
        <v>140000</v>
      </c>
      <c r="AN119" s="44"/>
      <c r="AO119" s="21">
        <v>1.15598424925563E-2</v>
      </c>
      <c r="AP119" s="21">
        <v>2.06164626613498E-2</v>
      </c>
      <c r="AQ119" s="19">
        <f t="shared" si="27"/>
        <v>2.3832306111887177E-4</v>
      </c>
      <c r="AR119" s="21"/>
      <c r="AS119" s="21"/>
      <c r="AT119" s="21"/>
      <c r="AU119" s="43" t="s">
        <v>92</v>
      </c>
      <c r="AV119" s="47" t="s">
        <v>29</v>
      </c>
      <c r="AW119" s="43" t="s">
        <v>80</v>
      </c>
      <c r="AX119" s="52">
        <v>569000</v>
      </c>
      <c r="AY119" s="44"/>
      <c r="AZ119" s="21">
        <v>1.24605285374184E-2</v>
      </c>
      <c r="BA119" s="21">
        <v>1.95628461570737E-2</v>
      </c>
      <c r="BB119" s="19">
        <f t="shared" si="28"/>
        <v>2.4376340281334272E-4</v>
      </c>
    </row>
    <row r="120" spans="1:129">
      <c r="A120" s="42">
        <v>44670</v>
      </c>
      <c r="B120" s="68" t="s">
        <v>77</v>
      </c>
      <c r="C120" s="43" t="s">
        <v>81</v>
      </c>
      <c r="D120" s="47" t="s">
        <v>29</v>
      </c>
      <c r="E120" s="43" t="s">
        <v>80</v>
      </c>
      <c r="F120" s="47" t="s">
        <v>29</v>
      </c>
      <c r="G120" s="44"/>
      <c r="H120" s="21">
        <v>7.2606014125895296E-3</v>
      </c>
      <c r="I120" s="21">
        <v>7.7735785990514394E-2</v>
      </c>
      <c r="J120" s="19">
        <f t="shared" si="26"/>
        <v>5.6440855757148613E-4</v>
      </c>
      <c r="N120" s="43" t="s">
        <v>88</v>
      </c>
      <c r="O120" s="47" t="s">
        <v>29</v>
      </c>
      <c r="P120" s="43" t="s">
        <v>80</v>
      </c>
      <c r="Q120" s="47" t="s">
        <v>29</v>
      </c>
      <c r="R120" s="44"/>
      <c r="S120" s="21">
        <v>4.9973659619981696E-3</v>
      </c>
      <c r="T120" s="21">
        <v>5.2333089676473502E-2</v>
      </c>
      <c r="U120">
        <f t="shared" si="29"/>
        <v>2.6152760103540645E-4</v>
      </c>
      <c r="V120" s="21"/>
      <c r="W120" s="21"/>
      <c r="X120" s="21"/>
      <c r="Y120" s="43" t="s">
        <v>89</v>
      </c>
      <c r="Z120" s="47" t="s">
        <v>29</v>
      </c>
      <c r="AA120" s="43" t="s">
        <v>80</v>
      </c>
      <c r="AB120" s="47" t="s">
        <v>29</v>
      </c>
      <c r="AC120" s="44"/>
      <c r="AD120" s="21">
        <v>4.1364313688057397E-3</v>
      </c>
      <c r="AE120" s="21">
        <v>9.4375790696867898E-2</v>
      </c>
      <c r="AF120">
        <f t="shared" si="30"/>
        <v>3.903789810943693E-4</v>
      </c>
      <c r="AG120" s="21"/>
      <c r="AH120" s="21"/>
      <c r="AI120" s="21"/>
      <c r="AJ120" s="43" t="s">
        <v>91</v>
      </c>
      <c r="AK120" s="47" t="s">
        <v>29</v>
      </c>
      <c r="AL120" s="43" t="s">
        <v>80</v>
      </c>
      <c r="AM120" s="52">
        <v>210000</v>
      </c>
      <c r="AN120" s="44"/>
      <c r="AO120" s="21">
        <v>1.15880988135902E-2</v>
      </c>
      <c r="AP120" s="21">
        <v>2.8687506131712399E-2</v>
      </c>
      <c r="AQ120" s="19">
        <f t="shared" si="27"/>
        <v>3.3243365576975803E-4</v>
      </c>
      <c r="AR120" s="21"/>
      <c r="AS120" s="21"/>
      <c r="AT120" s="21"/>
      <c r="AU120" s="43" t="s">
        <v>92</v>
      </c>
      <c r="AV120" s="47" t="s">
        <v>29</v>
      </c>
      <c r="AW120" s="43" t="s">
        <v>80</v>
      </c>
      <c r="AX120" s="52">
        <v>500000</v>
      </c>
      <c r="AY120" s="44"/>
      <c r="AZ120" s="21">
        <v>1.0986851259893E-2</v>
      </c>
      <c r="BA120" s="21">
        <v>2.5021528568479501E-2</v>
      </c>
      <c r="BB120" s="19">
        <f t="shared" si="28"/>
        <v>2.7490781267704769E-4</v>
      </c>
    </row>
    <row r="121" spans="1:129">
      <c r="A121" s="42">
        <v>44670</v>
      </c>
      <c r="B121" s="43" t="s">
        <v>78</v>
      </c>
      <c r="C121" s="43" t="s">
        <v>81</v>
      </c>
      <c r="D121" s="47" t="s">
        <v>29</v>
      </c>
      <c r="E121" s="43" t="s">
        <v>80</v>
      </c>
      <c r="F121" s="47" t="s">
        <v>29</v>
      </c>
      <c r="G121" s="44"/>
      <c r="H121" s="21">
        <v>7.06432673439114E-3</v>
      </c>
      <c r="I121" s="21">
        <v>4.0721315643450398E-2</v>
      </c>
      <c r="J121" s="19">
        <f t="shared" si="26"/>
        <v>2.8766867875960677E-4</v>
      </c>
      <c r="N121" s="43" t="s">
        <v>88</v>
      </c>
      <c r="O121" s="47" t="s">
        <v>29</v>
      </c>
      <c r="P121" s="43" t="s">
        <v>80</v>
      </c>
      <c r="Q121" s="47" t="s">
        <v>29</v>
      </c>
      <c r="R121" s="44"/>
      <c r="S121" s="21">
        <v>7.9406834288239699E-3</v>
      </c>
      <c r="T121" s="21">
        <v>2.7616017246509899E-2</v>
      </c>
      <c r="U121">
        <f t="shared" si="29"/>
        <v>2.1929005051947811E-4</v>
      </c>
      <c r="V121" s="21"/>
      <c r="W121" s="21"/>
      <c r="X121" s="21"/>
      <c r="Y121" s="43" t="s">
        <v>89</v>
      </c>
      <c r="Z121" s="47" t="s">
        <v>29</v>
      </c>
      <c r="AA121" s="43" t="s">
        <v>80</v>
      </c>
      <c r="AB121" s="47" t="s">
        <v>29</v>
      </c>
      <c r="AC121" s="44"/>
      <c r="AD121" s="21">
        <v>8.7691799296644498E-3</v>
      </c>
      <c r="AE121" s="21">
        <v>3.21517165349125E-2</v>
      </c>
      <c r="AF121">
        <f t="shared" si="30"/>
        <v>2.8194418734221532E-4</v>
      </c>
      <c r="AG121" s="21"/>
      <c r="AH121" s="21"/>
      <c r="AI121" s="21"/>
      <c r="AJ121" s="43" t="s">
        <v>91</v>
      </c>
      <c r="AK121" s="47" t="s">
        <v>29</v>
      </c>
      <c r="AL121" s="43" t="s">
        <v>80</v>
      </c>
      <c r="AM121" s="52">
        <v>270000</v>
      </c>
      <c r="AN121" s="44"/>
      <c r="AO121" s="21">
        <v>1.20117899028778E-2</v>
      </c>
      <c r="AP121" s="21">
        <v>2.0093751674147699E-2</v>
      </c>
      <c r="AQ121" s="19">
        <f t="shared" si="27"/>
        <v>2.4136192347046123E-4</v>
      </c>
      <c r="AR121" s="21"/>
      <c r="AS121" s="21"/>
      <c r="AT121" s="21"/>
      <c r="AU121" s="43" t="s">
        <v>92</v>
      </c>
      <c r="AV121" s="47" t="s">
        <v>29</v>
      </c>
      <c r="AW121" s="43" t="s">
        <v>80</v>
      </c>
      <c r="AX121" s="52">
        <v>1000000</v>
      </c>
      <c r="AY121" s="44"/>
      <c r="AZ121" s="21">
        <v>1.2369462073775201E-2</v>
      </c>
      <c r="BA121" s="21">
        <v>2.0554708838889199E-2</v>
      </c>
      <c r="BB121" s="19">
        <f t="shared" si="28"/>
        <v>2.5425069142013184E-4</v>
      </c>
    </row>
    <row r="122" spans="1:129">
      <c r="A122" s="42">
        <v>44670</v>
      </c>
      <c r="B122" s="68" t="s">
        <v>79</v>
      </c>
      <c r="C122" s="43" t="s">
        <v>81</v>
      </c>
      <c r="D122" s="47" t="s">
        <v>29</v>
      </c>
      <c r="E122" s="43" t="s">
        <v>80</v>
      </c>
      <c r="F122" s="47" t="s">
        <v>29</v>
      </c>
      <c r="G122" s="44"/>
      <c r="H122" s="21">
        <v>8.2853032174349407E-3</v>
      </c>
      <c r="I122" s="21">
        <v>4.56556605257597E-2</v>
      </c>
      <c r="J122" s="19">
        <f t="shared" si="26"/>
        <v>3.7827099104819424E-4</v>
      </c>
      <c r="N122" s="43" t="s">
        <v>88</v>
      </c>
      <c r="O122" s="47" t="s">
        <v>29</v>
      </c>
      <c r="P122" s="43" t="s">
        <v>80</v>
      </c>
      <c r="Q122" s="47" t="s">
        <v>29</v>
      </c>
      <c r="R122" s="44"/>
      <c r="S122" s="21">
        <v>5.2323981100175698E-3</v>
      </c>
      <c r="T122" s="21">
        <v>4.0144089739005399E-2</v>
      </c>
      <c r="U122">
        <f t="shared" si="29"/>
        <v>2.1004985927874757E-4</v>
      </c>
      <c r="V122" s="21"/>
      <c r="W122" s="21"/>
      <c r="X122" s="21"/>
      <c r="Y122" s="43" t="s">
        <v>89</v>
      </c>
      <c r="Z122" s="47" t="s">
        <v>29</v>
      </c>
      <c r="AA122" s="43" t="s">
        <v>80</v>
      </c>
      <c r="AB122" s="47" t="s">
        <v>29</v>
      </c>
      <c r="AC122" s="44"/>
      <c r="AD122" s="21">
        <v>4.6785409181953896E-3</v>
      </c>
      <c r="AE122" s="21">
        <v>4.8345806172400897E-2</v>
      </c>
      <c r="AF122">
        <f t="shared" si="30"/>
        <v>2.2618783240072084E-4</v>
      </c>
      <c r="AG122" s="21"/>
      <c r="AH122" s="21"/>
      <c r="AI122" s="21"/>
      <c r="AJ122" s="43" t="s">
        <v>91</v>
      </c>
      <c r="AK122" s="47" t="s">
        <v>29</v>
      </c>
      <c r="AL122" s="43" t="s">
        <v>80</v>
      </c>
      <c r="AM122" s="52">
        <v>824000</v>
      </c>
      <c r="AN122" s="44"/>
      <c r="AO122" s="21">
        <v>1.0800418248095099E-2</v>
      </c>
      <c r="AP122" s="21">
        <v>3.1203216703961801E-2</v>
      </c>
      <c r="AQ122" s="19">
        <f t="shared" si="27"/>
        <v>3.3700779108873484E-4</v>
      </c>
      <c r="AR122" s="21"/>
      <c r="AS122" s="21"/>
      <c r="AT122" s="21"/>
      <c r="AU122" s="43" t="s">
        <v>92</v>
      </c>
      <c r="AV122" s="47" t="s">
        <v>29</v>
      </c>
      <c r="AW122" s="43" t="s">
        <v>80</v>
      </c>
      <c r="AX122" s="52">
        <v>2700000</v>
      </c>
      <c r="AY122" s="44"/>
      <c r="AZ122" s="21">
        <v>1.41763472399295E-2</v>
      </c>
      <c r="BA122" s="21">
        <v>2.5395939682593901E-2</v>
      </c>
      <c r="BB122" s="19">
        <f t="shared" si="28"/>
        <v>3.6002165942475615E-4</v>
      </c>
    </row>
    <row r="123" spans="1:129">
      <c r="A123" s="42">
        <v>44670</v>
      </c>
      <c r="B123" s="43" t="s">
        <v>82</v>
      </c>
      <c r="C123" s="43" t="s">
        <v>81</v>
      </c>
      <c r="D123" s="47" t="s">
        <v>29</v>
      </c>
      <c r="E123" s="43" t="s">
        <v>80</v>
      </c>
      <c r="F123" s="47" t="s">
        <v>29</v>
      </c>
      <c r="G123" s="44"/>
      <c r="H123" s="21">
        <v>7.0949340457837603E-3</v>
      </c>
      <c r="I123" s="21">
        <v>4.02509121323473E-2</v>
      </c>
      <c r="J123" s="19">
        <f t="shared" si="26"/>
        <v>2.8557756686164147E-4</v>
      </c>
      <c r="N123" s="43" t="s">
        <v>88</v>
      </c>
      <c r="O123" s="47" t="s">
        <v>29</v>
      </c>
      <c r="P123" s="43" t="s">
        <v>80</v>
      </c>
      <c r="Q123" s="47" t="s">
        <v>29</v>
      </c>
      <c r="R123" s="44"/>
      <c r="S123" s="21">
        <v>8.64800548610648E-3</v>
      </c>
      <c r="T123" s="21">
        <v>2.36831740840148E-2</v>
      </c>
      <c r="U123">
        <f t="shared" si="29"/>
        <v>2.0481221940697481E-4</v>
      </c>
      <c r="V123" s="21"/>
      <c r="W123" s="21"/>
      <c r="X123" s="21"/>
      <c r="Y123" s="43" t="s">
        <v>89</v>
      </c>
      <c r="Z123" s="47" t="s">
        <v>29</v>
      </c>
      <c r="AA123" s="43" t="s">
        <v>80</v>
      </c>
      <c r="AB123" s="47" t="s">
        <v>29</v>
      </c>
      <c r="AC123" s="44"/>
      <c r="AD123" s="21">
        <v>8.9137462216216795E-3</v>
      </c>
      <c r="AE123" s="21">
        <v>2.3225457867913801E-2</v>
      </c>
      <c r="AF123">
        <f t="shared" si="30"/>
        <v>2.0702583731555015E-4</v>
      </c>
      <c r="AG123" s="21"/>
      <c r="AH123" s="21"/>
      <c r="AI123" s="21"/>
      <c r="AJ123" s="43" t="s">
        <v>91</v>
      </c>
      <c r="AK123" s="47" t="s">
        <v>29</v>
      </c>
      <c r="AL123" s="43" t="s">
        <v>80</v>
      </c>
      <c r="AM123" s="52">
        <v>714000</v>
      </c>
      <c r="AN123" s="44"/>
      <c r="AO123" s="21">
        <v>1.23547149033769E-2</v>
      </c>
      <c r="AP123" s="21">
        <v>2.06020303655771E-2</v>
      </c>
      <c r="AQ123" s="19">
        <f t="shared" si="27"/>
        <v>2.5453221159741886E-4</v>
      </c>
      <c r="AR123" s="21"/>
      <c r="AS123" s="21"/>
      <c r="AT123" s="21"/>
      <c r="AU123" s="43" t="s">
        <v>92</v>
      </c>
      <c r="AV123" s="47" t="s">
        <v>29</v>
      </c>
      <c r="AW123" s="43" t="s">
        <v>80</v>
      </c>
      <c r="AX123" s="52">
        <v>2460000</v>
      </c>
      <c r="AY123" s="44"/>
      <c r="AZ123" s="21">
        <v>1.1582022692250799E-2</v>
      </c>
      <c r="BA123" s="21">
        <v>2.36987539371998E-2</v>
      </c>
      <c r="BB123" s="19">
        <f t="shared" si="28"/>
        <v>2.7447950587871603E-4</v>
      </c>
    </row>
    <row r="124" spans="1:129">
      <c r="G124" s="65"/>
      <c r="H124" s="63" t="s">
        <v>96</v>
      </c>
      <c r="I124" s="63" t="s">
        <v>100</v>
      </c>
      <c r="R124" s="65"/>
      <c r="S124" s="63" t="s">
        <v>96</v>
      </c>
      <c r="T124" s="63" t="s">
        <v>100</v>
      </c>
      <c r="Y124" t="s">
        <v>93</v>
      </c>
      <c r="AC124" s="65"/>
      <c r="AD124" s="63" t="s">
        <v>96</v>
      </c>
      <c r="AE124" s="63" t="s">
        <v>100</v>
      </c>
      <c r="AN124" s="65"/>
      <c r="AO124" s="63" t="s">
        <v>96</v>
      </c>
      <c r="AP124" s="63" t="s">
        <v>100</v>
      </c>
      <c r="AY124" s="65"/>
      <c r="AZ124" s="63" t="s">
        <v>96</v>
      </c>
      <c r="BA124" s="63" t="s">
        <v>100</v>
      </c>
      <c r="BB124" s="1"/>
    </row>
    <row r="125" spans="1:129">
      <c r="G125" s="65" t="s">
        <v>94</v>
      </c>
      <c r="H125" s="64">
        <f>SUM(H114/I114^2,H116/I116^2,H120/I120^2,H122/I122^2)/SUM(1/I114^2,1/I116^2,1/I120^2,1/I122^2)</f>
        <v>7.7075240299307101E-3</v>
      </c>
      <c r="I125" s="64">
        <f>SQRT(1/SUM(1/I114^2,1/I116^2,1/I120^2,1/I122^2))</f>
        <v>3.044992950998536E-2</v>
      </c>
      <c r="R125" s="65" t="s">
        <v>94</v>
      </c>
      <c r="S125" s="64">
        <f>SUM(S116/T116^2,S120/T120^2,S122/T122^2)/SUM(1/T116^2,1/T120^2,1/T122^2)</f>
        <v>4.9600105087898045E-3</v>
      </c>
      <c r="T125" s="64">
        <f>SQRT(1/SUM(1/T116^2,1/T120^2,1/T122^2))</f>
        <v>2.6506156573916174E-2</v>
      </c>
      <c r="AC125" s="65" t="s">
        <v>94</v>
      </c>
      <c r="AD125" s="64">
        <f>SUM(AD116/AE116^2,AD120/AE120^2,AD122/AE122^2)/SUM(1/AE116^2,1/AE120^2,1/AE122^2)</f>
        <v>4.5326099374433243E-3</v>
      </c>
      <c r="AE125" s="64">
        <f>SQRT(1/SUM(1/AE116^2,1/AE120^2,1/AE122^2))</f>
        <v>3.7568978634956028E-2</v>
      </c>
      <c r="AN125" s="65" t="s">
        <v>94</v>
      </c>
      <c r="AO125" s="64">
        <f>SUM(AO114/AP114^2,AO116/AP116^2,AO120/AP120^2,AO122/AP122^2)/SUM(1/AP114^2,1/AP116^2,1/AP120^2,1/AP122^2)</f>
        <v>1.1513123469295347E-2</v>
      </c>
      <c r="AP125" s="64">
        <f>SQRT(1/SUM(1/AP114^2,1/AP116^2,1/AP120^2,1/AP122^2))</f>
        <v>1.6324652198729792E-2</v>
      </c>
      <c r="AY125" s="65" t="s">
        <v>94</v>
      </c>
      <c r="AZ125" s="64">
        <f>SUM(AZ114/BA114^2,AZ116/BA116^2,AZ120/BA120^2,AZ122/BA122^2)/SUM(1/BA114^2,1/BA116^2,1/BA120^2,1/BA122^2)</f>
        <v>1.2304021639763232E-2</v>
      </c>
      <c r="BA125" s="64">
        <f>SQRT(1/SUM(1/BA114^2,1/BA116^2,1/BA120^2,1/BA122^2))</f>
        <v>1.2737176245765468E-2</v>
      </c>
    </row>
    <row r="126" spans="1:129">
      <c r="G126" s="65" t="s">
        <v>101</v>
      </c>
      <c r="H126" s="63">
        <f>H125*H39</f>
        <v>8.3833153291213152E-4</v>
      </c>
      <c r="I126" s="63">
        <f>SQRT(I125^2+I19^2)</f>
        <v>3.1340571413846996E-2</v>
      </c>
      <c r="R126" s="65" t="s">
        <v>101</v>
      </c>
      <c r="S126" s="63">
        <f>S125*S19</f>
        <v>7.5600732434791219E-4</v>
      </c>
      <c r="T126" s="63">
        <f>SQRT(T125^2+T19^2)</f>
        <v>2.6892436368437331E-2</v>
      </c>
      <c r="AC126" s="65" t="s">
        <v>101</v>
      </c>
      <c r="AD126" s="63">
        <f>AD125*AD19</f>
        <v>6.0634005416189505E-4</v>
      </c>
      <c r="AE126" s="63">
        <f>SQRT(AE125^2+AE19^2)</f>
        <v>3.7840020010429222E-2</v>
      </c>
      <c r="AN126" s="65" t="s">
        <v>101</v>
      </c>
      <c r="AO126" s="63">
        <f>AO125*AO39</f>
        <v>1.965703169155278E-3</v>
      </c>
      <c r="AP126" s="63">
        <f>SQRT(AP125^2+AP19^2)</f>
        <v>1.6571630411098694E-2</v>
      </c>
      <c r="AY126" s="65" t="s">
        <v>101</v>
      </c>
      <c r="AZ126" s="63">
        <f>AZ125*AZ39</f>
        <v>2.0892848133665753E-3</v>
      </c>
      <c r="BA126" s="63">
        <f>SQRT(BA125^2+BA19^2)</f>
        <v>1.3007761106122596E-2</v>
      </c>
      <c r="BB126" s="1"/>
    </row>
    <row r="127" spans="1:129">
      <c r="G127" s="65" t="s">
        <v>95</v>
      </c>
      <c r="H127" s="64">
        <f>SUM(H113/I113^2,H115/I115^2,H117/I117^2,H119/I119^2,H121/I121^2,H123/I123^2)/SUM(1/I113^2,1/I115^2,1/I117^2,1/I119^2,1/I121^2,1/I123^2)</f>
        <v>7.3510137933463721E-3</v>
      </c>
      <c r="I127" s="64">
        <f>SQRT(1/SUM(1/I113^2,1/I115^2,1/I117^2,1/I119^2,1/I121^2,1/I123^2))</f>
        <v>1.7470674573559948E-2</v>
      </c>
      <c r="R127" s="65" t="s">
        <v>95</v>
      </c>
      <c r="S127" s="64">
        <f>SUM(S117/T117^2,S119/T119^2,S121/T121^2,S123/T123^2)/SUM(1/T117^2,1/T119^2,1/T121^2,1/T123^2)</f>
        <v>8.3131692137082686E-3</v>
      </c>
      <c r="T127" s="64">
        <f>SQRT(1/SUM(1/T117^2,1/T119^2,1/T121^2,1/T123^2))</f>
        <v>1.521732692794346E-2</v>
      </c>
      <c r="AC127" s="65" t="s">
        <v>95</v>
      </c>
      <c r="AD127" s="64">
        <f>SUM(AD117/AE117^2,AD119/AE119^2,AD121/AE121^2,AD123/AE123^2)/SUM(1/AE117^2,1/AE119^2,1/AE121^2,1/AE123^2)</f>
        <v>8.7877840689744614E-3</v>
      </c>
      <c r="AE127" s="64">
        <f>SQRT(1/SUM(1/AE117^2,1/AE119^2,1/AE121^2,1/AE123^2))</f>
        <v>1.6207090720702321E-2</v>
      </c>
      <c r="AN127" s="65" t="s">
        <v>95</v>
      </c>
      <c r="AO127" s="64">
        <f>SUM(AO113/AP113^2,AO115/AP115^2,AO117/AP117^2,AO119/AP119^2,AO121/AP121^2,AO123/AP123^2)/SUM(1/AP113^2,1/AP115^2,1/AP117^2,1/AP119^2,1/AP121^2,1/AP123^2)</f>
        <v>1.2081517261729862E-2</v>
      </c>
      <c r="AP127" s="64">
        <f>SQRT(1/SUM(1/AP113^2,1/AP115^2,1/AP117^2,1/AP119^2,1/AP121^2,1/AP123^2))</f>
        <v>8.896146896369422E-3</v>
      </c>
      <c r="AY127" s="65" t="s">
        <v>95</v>
      </c>
      <c r="AZ127" s="64">
        <f>SUM(AZ113/BA113^2,AZ115/BA115^2,AZ117/BA117^2,AZ119/BA119^2,AZ121/BA121^2,AZ123/BA123^2)/SUM(1/BA113^2,1/BA115^2,1/BA117^2,1/BA119^2,1/BA121^2,1/BA123^2)</f>
        <v>1.2325356871549731E-2</v>
      </c>
      <c r="BA127" s="64">
        <f>SQRT(1/SUM(1/BA113^2,1/BA115^2,1/BA117^2,1/BA119^2,1/BA121^2,1/BA123^2))</f>
        <v>8.0733382855840488E-3</v>
      </c>
    </row>
    <row r="128" spans="1:129">
      <c r="G128" s="65" t="s">
        <v>102</v>
      </c>
      <c r="H128" s="63">
        <f>H127*H20</f>
        <v>7.8763429246976049E-4</v>
      </c>
      <c r="I128" s="63">
        <f>SQRT(I127^2+I40^2)</f>
        <v>1.7632551502759327E-2</v>
      </c>
      <c r="R128" s="65" t="s">
        <v>102</v>
      </c>
      <c r="S128" s="63">
        <f>S127*S20</f>
        <v>1.2363194814852185E-3</v>
      </c>
      <c r="T128" s="63">
        <f>SQRT(T127^2+T20^2)</f>
        <v>1.5394368801270463E-2</v>
      </c>
      <c r="AC128" s="65" t="s">
        <v>102</v>
      </c>
      <c r="AD128" s="63">
        <f>AD127*AD20</f>
        <v>1.3050101423676527E-3</v>
      </c>
      <c r="AE128" s="63">
        <f>SQRT(AE127^2+AE20^2)</f>
        <v>1.6268553584370498E-2</v>
      </c>
      <c r="AN128" s="65" t="s">
        <v>102</v>
      </c>
      <c r="AO128" s="63">
        <f>AO127*AO20</f>
        <v>2.0456084432590397E-3</v>
      </c>
      <c r="AP128" s="63">
        <f>SQRT(AP127^2+AP40^2)</f>
        <v>8.974335539217039E-3</v>
      </c>
      <c r="AY128" s="65" t="s">
        <v>102</v>
      </c>
      <c r="AZ128" s="63">
        <f>AZ127*AZ20</f>
        <v>2.0919126746686487E-3</v>
      </c>
      <c r="BA128" s="63">
        <f>SQRT(BA127^2+BA40^2)</f>
        <v>8.1307670308923413E-3</v>
      </c>
      <c r="BB128" s="1"/>
    </row>
    <row r="129" spans="1:53">
      <c r="G129" s="65" t="s">
        <v>103</v>
      </c>
      <c r="H129" s="64">
        <f>H126/H128</f>
        <v>1.0643664717586143</v>
      </c>
      <c r="I129" s="64">
        <f>SQRT(I126^2+I128^2)</f>
        <v>3.596023204936119E-2</v>
      </c>
      <c r="R129" s="65" t="s">
        <v>103</v>
      </c>
      <c r="S129" s="64">
        <f>S126/S128</f>
        <v>0.61149835108939932</v>
      </c>
      <c r="T129" s="64">
        <f>SQRT(T126^2+T128^2)</f>
        <v>3.0986928286294856E-2</v>
      </c>
      <c r="AC129" s="65" t="s">
        <v>103</v>
      </c>
      <c r="AD129" s="64">
        <f>AD126/AD128</f>
        <v>0.46462478296285492</v>
      </c>
      <c r="AE129" s="64">
        <f>SQRT(AE126^2+AE128^2)</f>
        <v>4.1188990642126909E-2</v>
      </c>
      <c r="AN129" s="65" t="s">
        <v>103</v>
      </c>
      <c r="AO129" s="64">
        <f>AO126/AO128</f>
        <v>0.96093813829959673</v>
      </c>
      <c r="AP129" s="64">
        <f>SQRT(AP126^2+AP128^2)</f>
        <v>1.884562635872061E-2</v>
      </c>
      <c r="AY129" s="65" t="s">
        <v>103</v>
      </c>
      <c r="AZ129" s="64">
        <f>AZ126/AZ128</f>
        <v>0.99874379971310723</v>
      </c>
      <c r="BA129" s="64">
        <f>SQRT(BA126^2+BA128^2)</f>
        <v>1.5339857284362253E-2</v>
      </c>
    </row>
    <row r="130" spans="1:53">
      <c r="G130" s="65" t="s">
        <v>269</v>
      </c>
      <c r="H130" s="64">
        <f>(F2/1000)+1</f>
        <v>0.92961054924954001</v>
      </c>
      <c r="I130" s="267">
        <f>(G2/1000)*1</f>
        <v>1.1701742145197929E-2</v>
      </c>
      <c r="R130" s="65" t="s">
        <v>269</v>
      </c>
      <c r="S130" s="64">
        <f>(Q2/1000)+1</f>
        <v>0.9</v>
      </c>
      <c r="T130" s="267">
        <f>(R2/1000)*1</f>
        <v>1E-4</v>
      </c>
      <c r="AC130" s="65" t="s">
        <v>269</v>
      </c>
      <c r="AD130" s="267">
        <f>(AC2/1000)+1</f>
        <v>0.89571988347197007</v>
      </c>
      <c r="AE130" s="267">
        <f>(AD2/1000)*1</f>
        <v>7.4156337616016409E-4</v>
      </c>
      <c r="AN130" s="65" t="s">
        <v>269</v>
      </c>
      <c r="AO130" s="267">
        <f>(AN2/1000)+1</f>
        <v>0.89265175552527998</v>
      </c>
      <c r="AP130" s="267">
        <f>(AO2/1000)*1</f>
        <v>1.0473958561986335E-3</v>
      </c>
      <c r="AY130" s="65" t="s">
        <v>269</v>
      </c>
      <c r="AZ130" s="267">
        <f>(AX2/1000)+1</f>
        <v>0.92753340279768004</v>
      </c>
      <c r="BA130" s="267">
        <f>(AY2/1000)*1</f>
        <v>9.9248431724382872E-4</v>
      </c>
    </row>
    <row r="131" spans="1:53">
      <c r="G131" s="65" t="s">
        <v>268</v>
      </c>
      <c r="H131" s="64">
        <f>1000*(H129*H130-1)</f>
        <v>-10.553699585679531</v>
      </c>
      <c r="I131" s="64">
        <f>SQRT(I129^2+I130^2)*1000</f>
        <v>37.816253890048458</v>
      </c>
      <c r="R131" s="65" t="s">
        <v>268</v>
      </c>
      <c r="S131" s="64">
        <f>1000*(S129*S130-1)</f>
        <v>-449.65148401954059</v>
      </c>
      <c r="T131" s="64">
        <f>SQRT(T129^2+T130^2)*1000</f>
        <v>30.987089644237006</v>
      </c>
      <c r="AC131" s="65" t="s">
        <v>268</v>
      </c>
      <c r="AD131" s="64">
        <f>1000*(AD129*AD130-1)</f>
        <v>-583.82634354632228</v>
      </c>
      <c r="AE131" s="64">
        <f>SQRT(AE129^2+AE130^2)*1000</f>
        <v>41.195665625865061</v>
      </c>
      <c r="AN131" s="65" t="s">
        <v>268</v>
      </c>
      <c r="AO131" s="64">
        <f>1000*(AO129*AO130-1)</f>
        <v>-142.21688389567066</v>
      </c>
      <c r="AP131" s="64">
        <f>SQRT(AP129^2+AP130^2)*1000</f>
        <v>18.874709823785029</v>
      </c>
      <c r="AY131" s="65" t="s">
        <v>268</v>
      </c>
      <c r="AZ131" s="64">
        <f>1000*(AZ129*AZ130-1)</f>
        <v>-73.631764929017024</v>
      </c>
      <c r="BA131" s="64">
        <f>SQRT(BA129^2+BA130^2)*1000</f>
        <v>15.371930478133727</v>
      </c>
    </row>
    <row r="135" spans="1:53">
      <c r="A135" s="1"/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4A32-C6C6-CE4D-B5C3-8835B5CB4594}">
  <dimension ref="A1:DP128"/>
  <sheetViews>
    <sheetView topLeftCell="A9" zoomScale="87" zoomScaleNormal="120" workbookViewId="0">
      <pane xSplit="2" topLeftCell="AM1" activePane="topRight" state="frozen"/>
      <selection pane="topRight" activeCell="AX48" sqref="AX48"/>
    </sheetView>
  </sheetViews>
  <sheetFormatPr baseColWidth="10" defaultRowHeight="16"/>
  <cols>
    <col min="2" max="2" width="45" customWidth="1"/>
    <col min="3" max="4" width="12.33203125" customWidth="1"/>
    <col min="6" max="6" width="14.6640625" customWidth="1"/>
    <col min="7" max="7" width="21.83203125" style="24" customWidth="1"/>
    <col min="8" max="9" width="12.5" bestFit="1" customWidth="1"/>
    <col min="10" max="11" width="13" customWidth="1"/>
    <col min="12" max="13" width="14.5" customWidth="1"/>
    <col min="14" max="14" width="14.6640625" customWidth="1"/>
    <col min="15" max="15" width="15.1640625" customWidth="1"/>
    <col min="16" max="16" width="22" style="24" customWidth="1"/>
    <col min="19" max="19" width="13" customWidth="1"/>
    <col min="21" max="22" width="12" customWidth="1"/>
    <col min="23" max="23" width="11.83203125" customWidth="1"/>
    <col min="24" max="24" width="18.5" customWidth="1"/>
    <col min="25" max="25" width="21" style="24" customWidth="1"/>
    <col min="30" max="31" width="13.5" customWidth="1"/>
    <col min="33" max="33" width="16" customWidth="1"/>
    <col min="34" max="34" width="21.1640625" style="24" customWidth="1"/>
    <col min="39" max="40" width="13.83203125" customWidth="1"/>
    <col min="41" max="41" width="16.6640625" customWidth="1"/>
    <col min="42" max="42" width="15.33203125" customWidth="1"/>
    <col min="43" max="43" width="21.83203125" style="24" customWidth="1"/>
  </cols>
  <sheetData>
    <row r="1" spans="1:120" s="13" customFormat="1" ht="29">
      <c r="A1" s="14" t="s">
        <v>46</v>
      </c>
      <c r="B1" s="102" t="s">
        <v>144</v>
      </c>
      <c r="D1" s="13" t="s">
        <v>41</v>
      </c>
      <c r="F1" s="102">
        <f>'2x13C plots - v1'!B26</f>
        <v>-23.8</v>
      </c>
      <c r="G1" s="103">
        <f>'2x13C plots - v1'!C26</f>
        <v>0.49</v>
      </c>
      <c r="M1" s="13" t="s">
        <v>42</v>
      </c>
      <c r="O1" s="103">
        <f>'2x13C plots - v1'!B27</f>
        <v>-24.4</v>
      </c>
      <c r="P1" s="102">
        <f>'2x13C plots - v1'!C27</f>
        <v>0.56000000000000005</v>
      </c>
      <c r="W1" s="13" t="s">
        <v>43</v>
      </c>
      <c r="Y1" s="103">
        <f>'2x13C plots - v1'!B28</f>
        <v>-24.1</v>
      </c>
      <c r="Z1" s="102">
        <f>'2x13C plots - v1'!C28</f>
        <v>0.46</v>
      </c>
      <c r="AF1" s="13" t="s">
        <v>44</v>
      </c>
      <c r="AH1" s="103">
        <f>'2x13C plots - v1'!B29</f>
        <v>-24.2</v>
      </c>
      <c r="AI1" s="102">
        <f>'2x13C plots - v1'!C29</f>
        <v>0.42</v>
      </c>
      <c r="AO1" s="13" t="s">
        <v>45</v>
      </c>
      <c r="AP1" s="102">
        <f>'2x13C plots - v1'!B30</f>
        <v>-25.2</v>
      </c>
      <c r="AQ1" s="103">
        <f>'2x13C plots - v1'!C30</f>
        <v>0.49</v>
      </c>
    </row>
    <row r="2" spans="1:120" ht="18" customHeight="1">
      <c r="A2" s="15" t="s">
        <v>18</v>
      </c>
      <c r="B2" s="1" t="s">
        <v>5</v>
      </c>
      <c r="C2" s="2" t="s">
        <v>9</v>
      </c>
      <c r="D2" s="2" t="s">
        <v>27</v>
      </c>
      <c r="E2" s="2" t="s">
        <v>10</v>
      </c>
      <c r="F2" s="2" t="s">
        <v>49</v>
      </c>
      <c r="G2" s="25" t="s">
        <v>51</v>
      </c>
      <c r="H2" s="2" t="s">
        <v>11</v>
      </c>
      <c r="I2" s="2" t="s">
        <v>48</v>
      </c>
      <c r="J2" s="2" t="s">
        <v>155</v>
      </c>
      <c r="K2" s="2"/>
      <c r="L2" s="2" t="s">
        <v>9</v>
      </c>
      <c r="M2" s="2" t="s">
        <v>27</v>
      </c>
      <c r="N2" s="2" t="s">
        <v>10</v>
      </c>
      <c r="O2" s="2" t="s">
        <v>49</v>
      </c>
      <c r="P2" s="25" t="s">
        <v>51</v>
      </c>
      <c r="Q2" s="2" t="s">
        <v>11</v>
      </c>
      <c r="R2" s="2" t="s">
        <v>12</v>
      </c>
      <c r="S2" s="2" t="s">
        <v>155</v>
      </c>
      <c r="T2" s="2"/>
      <c r="U2" s="2" t="s">
        <v>9</v>
      </c>
      <c r="V2" s="2" t="s">
        <v>27</v>
      </c>
      <c r="W2" s="2" t="s">
        <v>10</v>
      </c>
      <c r="X2" s="2" t="s">
        <v>49</v>
      </c>
      <c r="Y2" s="25" t="s">
        <v>51</v>
      </c>
      <c r="Z2" s="2" t="s">
        <v>11</v>
      </c>
      <c r="AA2" s="2" t="s">
        <v>12</v>
      </c>
      <c r="AB2" s="2" t="s">
        <v>155</v>
      </c>
      <c r="AC2" s="2"/>
      <c r="AD2" s="2" t="s">
        <v>9</v>
      </c>
      <c r="AE2" s="2" t="s">
        <v>27</v>
      </c>
      <c r="AF2" s="2" t="s">
        <v>10</v>
      </c>
      <c r="AG2" s="2" t="s">
        <v>49</v>
      </c>
      <c r="AH2" s="25" t="s">
        <v>51</v>
      </c>
      <c r="AI2" s="2" t="s">
        <v>11</v>
      </c>
      <c r="AJ2" s="2" t="s">
        <v>12</v>
      </c>
      <c r="AK2" s="2" t="s">
        <v>156</v>
      </c>
      <c r="AL2" s="2"/>
      <c r="AM2" s="2" t="s">
        <v>9</v>
      </c>
      <c r="AN2" s="2" t="s">
        <v>27</v>
      </c>
      <c r="AO2" s="2" t="s">
        <v>10</v>
      </c>
      <c r="AP2" s="2" t="s">
        <v>49</v>
      </c>
      <c r="AQ2" s="25" t="s">
        <v>51</v>
      </c>
      <c r="AR2" s="2" t="s">
        <v>11</v>
      </c>
      <c r="AS2" s="2" t="s">
        <v>12</v>
      </c>
      <c r="AT2" s="2" t="s">
        <v>156</v>
      </c>
    </row>
    <row r="3" spans="1:120" ht="31">
      <c r="A3" s="33" t="s">
        <v>50</v>
      </c>
    </row>
    <row r="4" spans="1:120">
      <c r="A4" s="8" t="s">
        <v>19</v>
      </c>
      <c r="B4" s="1"/>
      <c r="C4" s="2"/>
      <c r="D4" s="2"/>
      <c r="E4" s="2"/>
      <c r="F4" s="2"/>
      <c r="G4" s="25"/>
      <c r="H4" s="2"/>
      <c r="I4" s="2"/>
      <c r="J4" s="2"/>
      <c r="K4" s="2"/>
      <c r="L4" s="2"/>
      <c r="M4" s="2"/>
      <c r="N4" s="2"/>
      <c r="O4" s="2"/>
      <c r="P4" s="25"/>
      <c r="Q4" s="2"/>
      <c r="R4" s="2"/>
      <c r="S4" s="2"/>
      <c r="T4" s="2"/>
      <c r="U4" s="2"/>
      <c r="V4" s="2"/>
      <c r="W4" s="2"/>
      <c r="X4" s="2"/>
      <c r="Y4" s="25"/>
      <c r="Z4" s="2"/>
      <c r="AA4" s="2"/>
      <c r="AB4" s="2"/>
      <c r="AC4" s="2"/>
      <c r="AD4" s="2"/>
      <c r="AE4" s="2"/>
      <c r="AF4" s="2"/>
      <c r="AG4" s="2"/>
      <c r="AH4" s="25"/>
      <c r="AI4" s="2"/>
      <c r="AJ4" s="2"/>
      <c r="AK4" s="2"/>
      <c r="AL4" s="2"/>
      <c r="AM4" s="2"/>
      <c r="AO4" s="2"/>
      <c r="AP4" s="2"/>
      <c r="AQ4" s="25"/>
      <c r="AR4" s="2"/>
      <c r="AS4" s="2"/>
    </row>
    <row r="5" spans="1:120" s="5" customFormat="1">
      <c r="A5" s="16" t="s">
        <v>25</v>
      </c>
      <c r="B5" s="10"/>
      <c r="C5" s="11"/>
      <c r="D5" s="11"/>
      <c r="E5" s="11"/>
      <c r="F5" s="11"/>
      <c r="G5" s="26"/>
      <c r="H5" s="11"/>
      <c r="I5" s="11"/>
      <c r="J5" s="11"/>
      <c r="K5" s="2"/>
      <c r="L5" s="11"/>
      <c r="M5" s="11"/>
      <c r="N5" s="11"/>
      <c r="O5" s="11"/>
      <c r="P5" s="26"/>
      <c r="Q5" s="11"/>
      <c r="R5" s="11"/>
      <c r="S5" s="11"/>
      <c r="T5" s="2"/>
      <c r="U5" s="11"/>
      <c r="V5" s="11"/>
      <c r="W5" s="11"/>
      <c r="X5" s="11"/>
      <c r="Y5" s="26"/>
      <c r="Z5" s="11"/>
      <c r="AA5" s="11"/>
      <c r="AB5" s="11"/>
      <c r="AC5" s="2"/>
      <c r="AD5" s="11"/>
      <c r="AE5" s="11"/>
      <c r="AF5" s="11"/>
      <c r="AG5" s="11"/>
      <c r="AH5" s="26"/>
      <c r="AI5" s="11"/>
      <c r="AJ5" s="11"/>
      <c r="AK5" s="11"/>
      <c r="AL5" s="2"/>
      <c r="AM5" s="11"/>
      <c r="AN5" s="11"/>
      <c r="AO5" s="11"/>
      <c r="AP5" s="11"/>
      <c r="AQ5" s="26"/>
      <c r="AR5" s="11"/>
      <c r="AS5" s="11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</row>
    <row r="6" spans="1:120" s="5" customFormat="1">
      <c r="A6" s="17">
        <v>44666</v>
      </c>
      <c r="B6" s="5" t="s">
        <v>1</v>
      </c>
      <c r="C6" s="5" t="s">
        <v>13</v>
      </c>
      <c r="D6" s="5" t="s">
        <v>31</v>
      </c>
      <c r="E6" s="5" t="s">
        <v>21</v>
      </c>
      <c r="F6" s="22">
        <v>68500000</v>
      </c>
      <c r="G6" s="27">
        <v>5</v>
      </c>
      <c r="H6" s="21">
        <v>0.103836708585115</v>
      </c>
      <c r="I6" s="21">
        <v>8.1935377790861592E-3</v>
      </c>
      <c r="J6">
        <f>H6*I6</f>
        <v>8.507899946480999E-4</v>
      </c>
      <c r="K6"/>
      <c r="L6" s="5" t="s">
        <v>14</v>
      </c>
      <c r="M6" s="5" t="s">
        <v>32</v>
      </c>
      <c r="N6" s="5" t="s">
        <v>21</v>
      </c>
      <c r="O6" s="22">
        <v>22300000</v>
      </c>
      <c r="P6" s="27">
        <v>5</v>
      </c>
      <c r="Q6" s="21">
        <v>0.14707698944825701</v>
      </c>
      <c r="R6" s="21">
        <v>4.8246252631634502E-3</v>
      </c>
      <c r="S6" s="21">
        <f>Q6*R6</f>
        <v>7.0959135892208495E-4</v>
      </c>
      <c r="T6" s="21"/>
      <c r="U6" s="5" t="s">
        <v>15</v>
      </c>
      <c r="V6" s="5" t="s">
        <v>33</v>
      </c>
      <c r="W6" s="5" t="s">
        <v>21</v>
      </c>
      <c r="X6" s="22">
        <v>12300000</v>
      </c>
      <c r="Y6" s="27">
        <v>5</v>
      </c>
      <c r="Z6" s="21">
        <v>0.14862168264523501</v>
      </c>
      <c r="AA6" s="21">
        <v>2.5332042723719499E-3</v>
      </c>
      <c r="AB6" s="21">
        <f>Z6*AA6</f>
        <v>3.7648908144401742E-4</v>
      </c>
      <c r="AC6" s="21"/>
      <c r="AD6" s="5" t="s">
        <v>16</v>
      </c>
      <c r="AE6" s="5" t="s">
        <v>34</v>
      </c>
      <c r="AF6" s="5" t="s">
        <v>21</v>
      </c>
      <c r="AG6" s="22">
        <v>23200000</v>
      </c>
      <c r="AH6" s="27">
        <v>5</v>
      </c>
      <c r="AI6" s="21">
        <v>0.169721121455473</v>
      </c>
      <c r="AJ6" s="21">
        <v>3.2563646715680402E-3</v>
      </c>
      <c r="AK6" s="21">
        <f>AI6*AJ6</f>
        <v>5.5267386392651079E-4</v>
      </c>
      <c r="AL6" s="21"/>
      <c r="AM6" s="5" t="s">
        <v>17</v>
      </c>
      <c r="AN6" s="5" t="s">
        <v>35</v>
      </c>
      <c r="AO6" s="5" t="s">
        <v>21</v>
      </c>
      <c r="AP6" s="22">
        <v>14400000</v>
      </c>
      <c r="AQ6" s="27">
        <v>5</v>
      </c>
      <c r="AR6" s="21">
        <v>0.168791089551205</v>
      </c>
      <c r="AS6" s="21">
        <v>3.2158620263753302E-3</v>
      </c>
      <c r="AT6">
        <f>AR6*AS6</f>
        <v>5.4280885527823797E-4</v>
      </c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</row>
    <row r="7" spans="1:120" s="5" customFormat="1">
      <c r="A7" s="17">
        <v>44666</v>
      </c>
      <c r="B7" s="10" t="s">
        <v>0</v>
      </c>
      <c r="C7" s="5" t="s">
        <v>13</v>
      </c>
      <c r="D7" s="5" t="s">
        <v>31</v>
      </c>
      <c r="E7" s="5" t="s">
        <v>21</v>
      </c>
      <c r="F7" s="22">
        <v>911000</v>
      </c>
      <c r="G7" s="27">
        <f>(F7/F6)*G6</f>
        <v>6.64963503649635E-2</v>
      </c>
      <c r="H7" s="21">
        <v>0.103394888360028</v>
      </c>
      <c r="I7" s="21">
        <v>2.6890711243570301E-2</v>
      </c>
      <c r="J7">
        <f t="shared" ref="J7:J16" si="0">H7*I7</f>
        <v>2.7803620869507007E-3</v>
      </c>
      <c r="K7"/>
      <c r="L7" s="5" t="s">
        <v>14</v>
      </c>
      <c r="M7" s="5" t="s">
        <v>32</v>
      </c>
      <c r="N7" s="5" t="s">
        <v>21</v>
      </c>
      <c r="O7" s="22">
        <v>295000</v>
      </c>
      <c r="P7" s="27">
        <f>(O7/O6)*P6</f>
        <v>6.614349775784753E-2</v>
      </c>
      <c r="Q7" s="21">
        <v>0.14773930610869099</v>
      </c>
      <c r="R7" s="21">
        <v>2.0993885481073098E-2</v>
      </c>
      <c r="S7" s="21">
        <f t="shared" ref="S7:S16" si="1">Q7*R7</f>
        <v>3.1016220734990619E-3</v>
      </c>
      <c r="T7" s="21"/>
      <c r="U7" s="5" t="s">
        <v>15</v>
      </c>
      <c r="V7" s="5" t="s">
        <v>33</v>
      </c>
      <c r="W7" s="5" t="s">
        <v>21</v>
      </c>
      <c r="X7" s="22">
        <v>105000</v>
      </c>
      <c r="Y7" s="29">
        <f>(X7/X6)*Y6</f>
        <v>4.2682926829268296E-2</v>
      </c>
      <c r="Z7" s="21">
        <v>0.14758736048785601</v>
      </c>
      <c r="AA7" s="21">
        <v>1.2942692827083E-2</v>
      </c>
      <c r="AB7" s="21">
        <f t="shared" ref="AB7:AB11" si="2">Z7*AA7</f>
        <v>1.9101778719542869E-3</v>
      </c>
      <c r="AC7" s="21"/>
      <c r="AD7" s="5" t="s">
        <v>16</v>
      </c>
      <c r="AE7" s="5" t="s">
        <v>34</v>
      </c>
      <c r="AF7" s="5" t="s">
        <v>21</v>
      </c>
      <c r="AG7" s="22">
        <v>789000</v>
      </c>
      <c r="AH7" s="27">
        <f>AG7/AG6*AH6</f>
        <v>0.17004310344827583</v>
      </c>
      <c r="AI7" s="21">
        <v>0.16676065963437001</v>
      </c>
      <c r="AJ7" s="21">
        <v>8.6176138885090507E-3</v>
      </c>
      <c r="AK7" s="21">
        <f t="shared" ref="AK7:AK11" si="3">AI7*AJ7</f>
        <v>1.4370789765220777E-3</v>
      </c>
      <c r="AL7" s="21"/>
      <c r="AM7" s="5" t="s">
        <v>17</v>
      </c>
      <c r="AN7" s="5" t="s">
        <v>35</v>
      </c>
      <c r="AO7" s="5" t="s">
        <v>21</v>
      </c>
      <c r="AP7" s="22">
        <v>2620000</v>
      </c>
      <c r="AQ7" s="27">
        <f>AP7/AP6*AQ6</f>
        <v>0.90972222222222221</v>
      </c>
      <c r="AR7" s="21">
        <v>0.16834376843242599</v>
      </c>
      <c r="AS7" s="21">
        <v>5.2920064727952701E-3</v>
      </c>
      <c r="AT7">
        <f t="shared" ref="AT7:AT11" si="4">AR7*AS7</f>
        <v>8.9087631219914639E-4</v>
      </c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</row>
    <row r="8" spans="1:120" s="5" customFormat="1">
      <c r="A8" s="17">
        <v>44666</v>
      </c>
      <c r="B8" s="5" t="s">
        <v>2</v>
      </c>
      <c r="C8" s="5" t="s">
        <v>13</v>
      </c>
      <c r="D8" s="5" t="s">
        <v>31</v>
      </c>
      <c r="E8" s="5" t="s">
        <v>21</v>
      </c>
      <c r="F8" s="22">
        <v>5000000</v>
      </c>
      <c r="G8" s="27">
        <f>F8/F6*G6</f>
        <v>0.36496350364963503</v>
      </c>
      <c r="H8" s="21">
        <v>0.106699538641799</v>
      </c>
      <c r="I8" s="21">
        <v>1.0532842697260901E-2</v>
      </c>
      <c r="J8">
        <f t="shared" si="0"/>
        <v>1.1238494563843798E-3</v>
      </c>
      <c r="K8"/>
      <c r="L8" s="5" t="s">
        <v>14</v>
      </c>
      <c r="M8" s="5" t="s">
        <v>32</v>
      </c>
      <c r="N8" s="5" t="s">
        <v>21</v>
      </c>
      <c r="O8" s="22">
        <v>1370000</v>
      </c>
      <c r="P8" s="27">
        <f>O8/O6*P6</f>
        <v>0.30717488789237668</v>
      </c>
      <c r="Q8" s="21">
        <v>0.14552943848439001</v>
      </c>
      <c r="R8" s="21">
        <v>6.65571590071928E-3</v>
      </c>
      <c r="S8" s="21">
        <f t="shared" si="1"/>
        <v>9.6860259774330293E-4</v>
      </c>
      <c r="T8" s="21"/>
      <c r="U8" s="5" t="s">
        <v>15</v>
      </c>
      <c r="V8" s="5" t="s">
        <v>33</v>
      </c>
      <c r="W8" s="5" t="s">
        <v>21</v>
      </c>
      <c r="X8" s="22">
        <v>461000</v>
      </c>
      <c r="Y8" s="27">
        <f>X8/X6*Y6</f>
        <v>0.18739837398373985</v>
      </c>
      <c r="Z8" s="21">
        <v>0.14455069626341199</v>
      </c>
      <c r="AA8" s="21">
        <v>4.7377229794434003E-3</v>
      </c>
      <c r="AB8" s="21">
        <f t="shared" si="2"/>
        <v>6.8484115538171026E-4</v>
      </c>
      <c r="AC8" s="21"/>
      <c r="AD8" s="5" t="s">
        <v>16</v>
      </c>
      <c r="AE8" s="5" t="s">
        <v>34</v>
      </c>
      <c r="AF8" s="5" t="s">
        <v>21</v>
      </c>
      <c r="AG8" s="22">
        <v>4800000</v>
      </c>
      <c r="AH8" s="27">
        <f>AG8/AG6*AH6</f>
        <v>1.0344827586206897</v>
      </c>
      <c r="AI8" s="21">
        <v>0.16875672222621799</v>
      </c>
      <c r="AJ8" s="21">
        <v>3.5119359498943302E-3</v>
      </c>
      <c r="AK8" s="21">
        <f t="shared" si="3"/>
        <v>5.9266279957258651E-4</v>
      </c>
      <c r="AL8" s="21"/>
      <c r="AM8" s="5" t="s">
        <v>17</v>
      </c>
      <c r="AN8" s="5" t="s">
        <v>35</v>
      </c>
      <c r="AO8" s="5" t="s">
        <v>21</v>
      </c>
      <c r="AP8" s="22">
        <v>22000000</v>
      </c>
      <c r="AQ8" s="27">
        <f>AP8/AP6*AQ6</f>
        <v>7.6388888888888884</v>
      </c>
      <c r="AR8" s="21">
        <v>0.169952612404875</v>
      </c>
      <c r="AS8" s="21">
        <v>3.0307475769197302E-3</v>
      </c>
      <c r="AT8">
        <f t="shared" si="4"/>
        <v>5.1508346823725295E-4</v>
      </c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</row>
    <row r="9" spans="1:120" s="5" customFormat="1">
      <c r="A9" s="16" t="s">
        <v>26</v>
      </c>
      <c r="G9" s="27"/>
      <c r="K9"/>
      <c r="P9" s="27"/>
      <c r="S9" s="105"/>
      <c r="T9"/>
      <c r="Y9" s="27"/>
      <c r="AB9" s="105"/>
      <c r="AC9"/>
      <c r="AH9" s="27"/>
      <c r="AK9" s="105"/>
      <c r="AL9"/>
      <c r="AQ9" s="27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</row>
    <row r="10" spans="1:120" s="5" customFormat="1">
      <c r="A10" s="17">
        <v>44667</v>
      </c>
      <c r="B10" s="5" t="s">
        <v>4</v>
      </c>
      <c r="C10" s="5" t="s">
        <v>30</v>
      </c>
      <c r="D10" s="5" t="s">
        <v>31</v>
      </c>
      <c r="E10" s="5" t="s">
        <v>21</v>
      </c>
      <c r="F10" s="22">
        <v>78000000</v>
      </c>
      <c r="G10" s="27">
        <v>5</v>
      </c>
      <c r="H10" s="21">
        <v>0.1055860811564</v>
      </c>
      <c r="I10" s="21">
        <v>1.28076723554712E-2</v>
      </c>
      <c r="J10">
        <f t="shared" si="0"/>
        <v>1.3523119327493629E-3</v>
      </c>
      <c r="K10"/>
      <c r="L10" s="5" t="s">
        <v>14</v>
      </c>
      <c r="M10" s="5" t="s">
        <v>32</v>
      </c>
      <c r="N10" s="5" t="s">
        <v>21</v>
      </c>
      <c r="O10" s="22">
        <v>30600000</v>
      </c>
      <c r="P10" s="27">
        <v>5</v>
      </c>
      <c r="Q10" s="21">
        <v>0.14899254080888699</v>
      </c>
      <c r="R10" s="21">
        <v>4.6957742755650697E-3</v>
      </c>
      <c r="S10" s="21">
        <f t="shared" si="1"/>
        <v>6.9963534038145045E-4</v>
      </c>
      <c r="T10" s="21"/>
      <c r="U10" s="5" t="s">
        <v>15</v>
      </c>
      <c r="V10" s="5" t="s">
        <v>33</v>
      </c>
      <c r="W10" s="5" t="s">
        <v>21</v>
      </c>
      <c r="X10" s="22">
        <v>16400000</v>
      </c>
      <c r="Y10" s="27">
        <v>5</v>
      </c>
      <c r="Z10" s="21">
        <v>0.14878530111503999</v>
      </c>
      <c r="AA10" s="21">
        <v>2.6210509250321899E-3</v>
      </c>
      <c r="AB10" s="21">
        <f t="shared" si="2"/>
        <v>3.8997385111876846E-4</v>
      </c>
      <c r="AC10" s="21"/>
      <c r="AD10" s="5" t="s">
        <v>16</v>
      </c>
      <c r="AE10" s="5" t="s">
        <v>34</v>
      </c>
      <c r="AF10" s="5" t="s">
        <v>21</v>
      </c>
      <c r="AG10" s="22">
        <v>26800000</v>
      </c>
      <c r="AH10" s="27">
        <v>5</v>
      </c>
      <c r="AI10" s="21">
        <v>0.168993733838392</v>
      </c>
      <c r="AJ10" s="21">
        <v>3.1795178096092401E-3</v>
      </c>
      <c r="AK10" s="21">
        <f t="shared" si="3"/>
        <v>5.3731858645153106E-4</v>
      </c>
      <c r="AL10" s="21"/>
      <c r="AM10" s="5" t="s">
        <v>17</v>
      </c>
      <c r="AN10" s="5" t="s">
        <v>35</v>
      </c>
      <c r="AO10" s="5" t="s">
        <v>21</v>
      </c>
      <c r="AP10" s="22">
        <v>19900000</v>
      </c>
      <c r="AQ10" s="27">
        <v>5</v>
      </c>
      <c r="AR10" s="21">
        <v>0.16978613524011699</v>
      </c>
      <c r="AS10" s="21">
        <v>3.05194225231303E-3</v>
      </c>
      <c r="AT10">
        <f t="shared" si="4"/>
        <v>5.1817747999624738E-4</v>
      </c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</row>
    <row r="11" spans="1:120" s="5" customFormat="1">
      <c r="A11" s="17">
        <v>44667</v>
      </c>
      <c r="B11" s="5" t="s">
        <v>3</v>
      </c>
      <c r="C11" s="5" t="s">
        <v>30</v>
      </c>
      <c r="D11" s="5" t="s">
        <v>31</v>
      </c>
      <c r="E11" s="5" t="s">
        <v>21</v>
      </c>
      <c r="F11" s="22">
        <v>1320000</v>
      </c>
      <c r="G11" s="27">
        <f>F11/F10*G10</f>
        <v>8.461538461538462E-2</v>
      </c>
      <c r="H11" s="21">
        <v>0.102994535761886</v>
      </c>
      <c r="I11" s="21">
        <v>8.0098691442472194E-3</v>
      </c>
      <c r="J11">
        <f t="shared" si="0"/>
        <v>8.2497275402519741E-4</v>
      </c>
      <c r="K11"/>
      <c r="L11" s="5" t="s">
        <v>14</v>
      </c>
      <c r="M11" s="5" t="s">
        <v>32</v>
      </c>
      <c r="N11" s="5" t="s">
        <v>21</v>
      </c>
      <c r="O11" s="22">
        <v>325000</v>
      </c>
      <c r="P11" s="27">
        <f>O11/O10*P10</f>
        <v>5.3104575163398698E-2</v>
      </c>
      <c r="Q11" s="21">
        <v>0.147201945323162</v>
      </c>
      <c r="R11" s="21">
        <v>8.9091006865136008E-3</v>
      </c>
      <c r="S11" s="21">
        <f t="shared" si="1"/>
        <v>1.3114369521347201E-3</v>
      </c>
      <c r="T11" s="21"/>
      <c r="U11" s="5" t="s">
        <v>15</v>
      </c>
      <c r="V11" s="5" t="s">
        <v>33</v>
      </c>
      <c r="W11" s="5" t="s">
        <v>21</v>
      </c>
      <c r="X11" s="22">
        <v>160000</v>
      </c>
      <c r="Y11" s="27">
        <f>X11/X10*Y10</f>
        <v>4.878048780487805E-2</v>
      </c>
      <c r="Z11" s="21">
        <v>0.145755436096593</v>
      </c>
      <c r="AA11" s="21">
        <v>5.4675769924462398E-3</v>
      </c>
      <c r="AB11" s="21">
        <f t="shared" si="2"/>
        <v>7.9692906892570004E-4</v>
      </c>
      <c r="AC11" s="21"/>
      <c r="AD11" s="5" t="s">
        <v>16</v>
      </c>
      <c r="AE11" s="5" t="s">
        <v>34</v>
      </c>
      <c r="AF11" s="5" t="s">
        <v>21</v>
      </c>
      <c r="AG11" s="22">
        <v>915000</v>
      </c>
      <c r="AH11" s="27">
        <f>AG11/AG10*AH10</f>
        <v>0.17070895522388058</v>
      </c>
      <c r="AI11" s="21">
        <v>0.168196100327584</v>
      </c>
      <c r="AJ11" s="21">
        <v>3.5204199574589601E-3</v>
      </c>
      <c r="AK11" s="21">
        <f t="shared" si="3"/>
        <v>5.9212090835999629E-4</v>
      </c>
      <c r="AL11" s="21"/>
      <c r="AM11" s="5" t="s">
        <v>17</v>
      </c>
      <c r="AN11" s="5" t="s">
        <v>35</v>
      </c>
      <c r="AO11" s="5" t="s">
        <v>21</v>
      </c>
      <c r="AP11" s="22">
        <v>4220000</v>
      </c>
      <c r="AQ11" s="27">
        <f>AP11/AP10*AQ10</f>
        <v>1.0603015075376885</v>
      </c>
      <c r="AR11" s="21">
        <v>0.16990175921398801</v>
      </c>
      <c r="AS11" s="21">
        <v>2.89079929424835E-3</v>
      </c>
      <c r="AT11">
        <f t="shared" si="4"/>
        <v>4.9115188562734967E-4</v>
      </c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</row>
    <row r="12" spans="1:120">
      <c r="A12" s="18"/>
      <c r="S12" s="21"/>
    </row>
    <row r="13" spans="1:120">
      <c r="A13" s="9" t="s">
        <v>20</v>
      </c>
      <c r="S13" s="21"/>
    </row>
    <row r="14" spans="1:120" s="7" customFormat="1">
      <c r="A14" s="20">
        <v>44667</v>
      </c>
      <c r="B14" s="7" t="s">
        <v>6</v>
      </c>
      <c r="C14" s="7" t="s">
        <v>36</v>
      </c>
      <c r="D14" s="12" t="s">
        <v>29</v>
      </c>
      <c r="E14" s="7" t="s">
        <v>23</v>
      </c>
      <c r="F14" s="30">
        <v>500000</v>
      </c>
      <c r="G14" s="28">
        <f>G11</f>
        <v>8.461538461538462E-2</v>
      </c>
      <c r="H14" s="21">
        <v>0.109364021831655</v>
      </c>
      <c r="I14" s="21">
        <v>5.6939506615468699E-3</v>
      </c>
      <c r="J14">
        <f t="shared" si="0"/>
        <v>6.2271334445777827E-4</v>
      </c>
      <c r="K14"/>
      <c r="L14" s="7" t="s">
        <v>37</v>
      </c>
      <c r="M14" s="12" t="s">
        <v>29</v>
      </c>
      <c r="N14" s="7" t="s">
        <v>22</v>
      </c>
      <c r="O14" s="30">
        <v>98400</v>
      </c>
      <c r="P14" s="28">
        <f>P11</f>
        <v>5.3104575163398698E-2</v>
      </c>
      <c r="Q14" s="21">
        <v>0.15008701785241699</v>
      </c>
      <c r="R14" s="21">
        <v>5.7529988404529499E-3</v>
      </c>
      <c r="S14" s="21">
        <f t="shared" si="1"/>
        <v>8.6345043967199617E-4</v>
      </c>
      <c r="T14" s="21"/>
      <c r="U14" s="7" t="s">
        <v>38</v>
      </c>
      <c r="V14" s="12" t="s">
        <v>29</v>
      </c>
      <c r="W14" s="7" t="s">
        <v>22</v>
      </c>
      <c r="X14" s="30">
        <v>45000</v>
      </c>
      <c r="Y14" s="28">
        <f>Y11</f>
        <v>4.878048780487805E-2</v>
      </c>
      <c r="Z14" s="21">
        <v>0.150213164237886</v>
      </c>
      <c r="AA14" s="21">
        <v>4.52743400899652E-3</v>
      </c>
      <c r="AB14" s="21">
        <f>Z14*AA14</f>
        <v>6.8008018836958491E-4</v>
      </c>
      <c r="AC14" s="21"/>
      <c r="AD14" s="7" t="s">
        <v>39</v>
      </c>
      <c r="AE14" s="12" t="s">
        <v>29</v>
      </c>
      <c r="AF14" s="7" t="s">
        <v>21</v>
      </c>
      <c r="AG14" s="30">
        <v>265000</v>
      </c>
      <c r="AH14" s="28">
        <f>AH11</f>
        <v>0.17070895522388058</v>
      </c>
      <c r="AI14" s="21">
        <v>0.16992284757461101</v>
      </c>
      <c r="AJ14" s="21">
        <v>3.2321985882716002E-3</v>
      </c>
      <c r="AK14" s="21"/>
      <c r="AL14" s="21"/>
      <c r="AM14" s="7" t="s">
        <v>40</v>
      </c>
      <c r="AN14" s="12" t="s">
        <v>29</v>
      </c>
      <c r="AO14" s="7" t="s">
        <v>21</v>
      </c>
      <c r="AP14" s="30">
        <v>1000000</v>
      </c>
      <c r="AQ14" s="28">
        <f>AQ11</f>
        <v>1.0603015075376885</v>
      </c>
      <c r="AR14" s="21">
        <v>0.17012140204585699</v>
      </c>
      <c r="AS14" s="21">
        <v>2.0269144945697401E-3</v>
      </c>
      <c r="AT14">
        <f>AR14*AS14</f>
        <v>3.4482153564327375E-4</v>
      </c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</row>
    <row r="15" spans="1:120" s="7" customFormat="1">
      <c r="A15" s="20">
        <v>44667</v>
      </c>
      <c r="B15" s="70" t="s">
        <v>7</v>
      </c>
      <c r="C15" s="7" t="s">
        <v>36</v>
      </c>
      <c r="D15" s="12" t="s">
        <v>29</v>
      </c>
      <c r="E15" s="7" t="s">
        <v>22</v>
      </c>
      <c r="F15" s="30">
        <v>915000</v>
      </c>
      <c r="G15" s="28">
        <f>F15/F16*G16</f>
        <v>0.11077703513967822</v>
      </c>
      <c r="H15" s="21">
        <v>0.105623920356705</v>
      </c>
      <c r="I15" s="21">
        <v>7.71794009016791E-3</v>
      </c>
      <c r="J15">
        <f t="shared" si="0"/>
        <v>8.1519908940171591E-4</v>
      </c>
      <c r="K15"/>
      <c r="L15" s="7" t="s">
        <v>37</v>
      </c>
      <c r="M15" s="12" t="s">
        <v>29</v>
      </c>
      <c r="N15" s="7" t="s">
        <v>22</v>
      </c>
      <c r="O15" s="30">
        <v>300000</v>
      </c>
      <c r="P15" s="28">
        <f>O15/O16*P16</f>
        <v>0.13196167021025279</v>
      </c>
      <c r="Q15" s="21">
        <v>0.15265034538656999</v>
      </c>
      <c r="R15" s="21">
        <v>4.6518306220375604E-3</v>
      </c>
      <c r="S15" s="21">
        <f t="shared" si="1"/>
        <v>7.1010355113385634E-4</v>
      </c>
      <c r="T15" s="21"/>
      <c r="U15" s="7" t="s">
        <v>38</v>
      </c>
      <c r="V15" s="12" t="s">
        <v>29</v>
      </c>
      <c r="W15" s="7" t="s">
        <v>22</v>
      </c>
      <c r="X15" s="30">
        <v>70000</v>
      </c>
      <c r="Y15" s="28">
        <f>X15/X16*Y16</f>
        <v>6.1696740489086889E-2</v>
      </c>
      <c r="Z15" s="21">
        <v>0.152363273482119</v>
      </c>
      <c r="AA15" s="21">
        <v>4.8248695388720102E-3</v>
      </c>
      <c r="AB15" s="21">
        <f t="shared" ref="AB15:AB16" si="5">Z15*AA15</f>
        <v>7.3513291706670154E-4</v>
      </c>
      <c r="AC15" s="21"/>
      <c r="AD15" s="7" t="s">
        <v>39</v>
      </c>
      <c r="AE15" s="12" t="s">
        <v>29</v>
      </c>
      <c r="AF15" s="7" t="s">
        <v>24</v>
      </c>
      <c r="AG15" s="30">
        <v>1000000</v>
      </c>
      <c r="AH15" s="28">
        <f>AG15/AG16*AH16</f>
        <v>0.4694496268656716</v>
      </c>
      <c r="AI15" s="21">
        <v>0.17087176262605</v>
      </c>
      <c r="AJ15" s="21">
        <v>3.0203846393601799E-3</v>
      </c>
      <c r="AK15" s="21"/>
      <c r="AL15" s="21"/>
      <c r="AM15" s="7" t="s">
        <v>40</v>
      </c>
      <c r="AN15" s="12" t="s">
        <v>29</v>
      </c>
      <c r="AO15" s="7" t="s">
        <v>24</v>
      </c>
      <c r="AP15" s="30">
        <v>3000000</v>
      </c>
      <c r="AQ15" s="28">
        <f>AP15/AP16*AQ16</f>
        <v>2.1868718592964824</v>
      </c>
      <c r="AR15" s="21">
        <v>0.168548307737104</v>
      </c>
      <c r="AS15" s="21">
        <v>3.0451172420591201E-3</v>
      </c>
      <c r="AT15">
        <f t="shared" ref="AT15:AT16" si="6">AR15*AS15</f>
        <v>5.1324935801014195E-4</v>
      </c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</row>
    <row r="16" spans="1:120" s="7" customFormat="1">
      <c r="A16" s="20">
        <v>44667</v>
      </c>
      <c r="B16" s="7" t="s">
        <v>8</v>
      </c>
      <c r="C16" s="7" t="s">
        <v>36</v>
      </c>
      <c r="D16" s="12" t="s">
        <v>29</v>
      </c>
      <c r="E16" s="7" t="s">
        <v>22</v>
      </c>
      <c r="F16" s="30">
        <v>961000</v>
      </c>
      <c r="G16" s="28">
        <f>G11*(1.1/0.8)</f>
        <v>0.11634615384615385</v>
      </c>
      <c r="H16" s="21">
        <v>0.108703818836242</v>
      </c>
      <c r="I16" s="21">
        <v>5.1314323645300702E-3</v>
      </c>
      <c r="J16">
        <f t="shared" si="0"/>
        <v>5.5780629412430563E-4</v>
      </c>
      <c r="K16"/>
      <c r="L16" s="7" t="s">
        <v>37</v>
      </c>
      <c r="M16" s="12" t="s">
        <v>29</v>
      </c>
      <c r="N16" s="7" t="s">
        <v>22</v>
      </c>
      <c r="O16" s="30">
        <v>166000</v>
      </c>
      <c r="P16" s="28">
        <f>P11*(1.1/0.8)</f>
        <v>7.3018790849673207E-2</v>
      </c>
      <c r="Q16" s="21">
        <v>0.15221591525665101</v>
      </c>
      <c r="R16" s="21">
        <v>5.6963484246708796E-3</v>
      </c>
      <c r="S16" s="21">
        <f t="shared" si="1"/>
        <v>8.6707488908206016E-4</v>
      </c>
      <c r="T16" s="21"/>
      <c r="U16" s="7" t="s">
        <v>38</v>
      </c>
      <c r="V16" s="12" t="s">
        <v>29</v>
      </c>
      <c r="W16" s="7" t="s">
        <v>22</v>
      </c>
      <c r="X16" s="30">
        <v>76100</v>
      </c>
      <c r="Y16" s="28">
        <f>Y11*(1.1/0.8)</f>
        <v>6.7073170731707321E-2</v>
      </c>
      <c r="Z16" s="21">
        <v>0.150217780287626</v>
      </c>
      <c r="AA16" s="21">
        <v>3.7060798448697598E-3</v>
      </c>
      <c r="AB16" s="21">
        <f t="shared" si="5"/>
        <v>5.5671908786504467E-4</v>
      </c>
      <c r="AC16" s="21"/>
      <c r="AD16" s="7" t="s">
        <v>39</v>
      </c>
      <c r="AE16" s="12" t="s">
        <v>29</v>
      </c>
      <c r="AF16" s="7" t="s">
        <v>24</v>
      </c>
      <c r="AG16" s="30">
        <v>500000</v>
      </c>
      <c r="AH16" s="28">
        <f>AH11*(1.1/0.8)</f>
        <v>0.2347248134328358</v>
      </c>
      <c r="AI16" s="21">
        <v>0.169706217315129</v>
      </c>
      <c r="AJ16" s="21">
        <v>2.3273070778192001E-3</v>
      </c>
      <c r="AK16" s="21"/>
      <c r="AL16" s="21"/>
      <c r="AM16" s="7" t="s">
        <v>40</v>
      </c>
      <c r="AN16" s="12" t="s">
        <v>29</v>
      </c>
      <c r="AO16" s="7" t="s">
        <v>24</v>
      </c>
      <c r="AP16" s="30">
        <v>2000000</v>
      </c>
      <c r="AQ16" s="28">
        <f>AQ11*(1.1/0.8)</f>
        <v>1.4579145728643217</v>
      </c>
      <c r="AR16" s="21">
        <v>0.16950710030388999</v>
      </c>
      <c r="AS16" s="21">
        <v>1.9163896366100901E-3</v>
      </c>
      <c r="AT16">
        <f t="shared" si="6"/>
        <v>3.2484165035420184E-4</v>
      </c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</row>
    <row r="17" spans="1:46" ht="19" customHeight="1">
      <c r="A17" s="18"/>
      <c r="D17" s="32"/>
      <c r="F17" s="53"/>
      <c r="G17" s="62"/>
      <c r="H17" s="63" t="s">
        <v>96</v>
      </c>
      <c r="I17" s="63" t="s">
        <v>100</v>
      </c>
      <c r="M17" s="32"/>
      <c r="O17" s="53"/>
      <c r="P17" s="62"/>
      <c r="Q17" s="63" t="s">
        <v>96</v>
      </c>
      <c r="R17" s="63" t="s">
        <v>100</v>
      </c>
      <c r="S17" s="21"/>
      <c r="T17" s="21"/>
      <c r="V17" s="32"/>
      <c r="X17" s="53"/>
      <c r="Y17" s="62"/>
      <c r="Z17" s="63" t="s">
        <v>96</v>
      </c>
      <c r="AA17" s="63" t="s">
        <v>100</v>
      </c>
      <c r="AB17" s="21"/>
      <c r="AC17" s="21"/>
      <c r="AE17" s="32"/>
      <c r="AG17" s="53"/>
      <c r="AH17" s="62"/>
      <c r="AI17" s="63" t="s">
        <v>96</v>
      </c>
      <c r="AJ17" s="63" t="s">
        <v>100</v>
      </c>
      <c r="AK17" s="21"/>
      <c r="AL17" s="21"/>
      <c r="AN17" s="32"/>
      <c r="AP17" s="53"/>
      <c r="AQ17" s="62"/>
      <c r="AR17" s="63" t="s">
        <v>96</v>
      </c>
      <c r="AS17" s="63" t="s">
        <v>100</v>
      </c>
    </row>
    <row r="18" spans="1:46" ht="19" customHeight="1">
      <c r="A18" s="18"/>
      <c r="D18" s="32"/>
      <c r="F18" s="53"/>
      <c r="G18" s="63" t="s">
        <v>94</v>
      </c>
      <c r="H18" s="67">
        <f>SUM(H7/I7^2,H15/I15^2)/SUM(1/I7^2,1/I15^2)</f>
        <v>0.10545427711429489</v>
      </c>
      <c r="I18" s="67">
        <f>SQRT(1/SUM(1/I7^2,1/I15^2))</f>
        <v>7.418437125390127E-3</v>
      </c>
      <c r="M18" s="32"/>
      <c r="O18" s="53"/>
      <c r="P18" s="63" t="s">
        <v>94</v>
      </c>
      <c r="Q18" s="67">
        <f>SUM(Q7/R7^2,Q15/R15^2)/SUM(1/R7^2,1/R15^2)</f>
        <v>0.15242050858726322</v>
      </c>
      <c r="R18" s="67">
        <f>SQRT(1/SUM(1/R7^2,1/R15^2))</f>
        <v>4.5416734261163362E-3</v>
      </c>
      <c r="S18" s="21"/>
      <c r="T18" s="21"/>
      <c r="V18" s="32"/>
      <c r="X18" s="53"/>
      <c r="Y18" s="63" t="s">
        <v>94</v>
      </c>
      <c r="Z18" s="67">
        <f>SUM(Z7/AA7^2,Z15/AA15^2)/SUM(1/AA7^2,1/AA15^2)</f>
        <v>0.15178054548434466</v>
      </c>
      <c r="AA18" s="67">
        <f>SQRT(1/SUM(1/AA7^2,1/AA15^2))</f>
        <v>4.5209466614749283E-3</v>
      </c>
      <c r="AB18" s="21"/>
      <c r="AC18" s="21"/>
      <c r="AE18" s="32"/>
      <c r="AG18" s="53"/>
      <c r="AH18" s="63" t="s">
        <v>94</v>
      </c>
      <c r="AI18" s="67">
        <f>SUM(AI7/AJ7^2,AI15/AJ15^2)/SUM(1/AJ7^2,1/AJ15^2)</f>
        <v>0.1704219933756945</v>
      </c>
      <c r="AJ18" s="67">
        <f>SQRT(1/SUM(1/AJ7^2,1/AJ15^2))</f>
        <v>2.8503798119825386E-3</v>
      </c>
      <c r="AK18" s="21"/>
      <c r="AL18" s="21"/>
      <c r="AN18" s="32"/>
      <c r="AP18" s="53"/>
      <c r="AQ18" s="63" t="s">
        <v>94</v>
      </c>
      <c r="AR18" s="67">
        <f>SUM(AR7/AS7^2,AR15/AS15^2)/SUM(1/AS7^2,1/AS15^2)</f>
        <v>0.1684974295796903</v>
      </c>
      <c r="AS18" s="67">
        <f>SQRT(1/SUM(1/AS7^2,1/AS15^2))</f>
        <v>2.6393541403653387E-3</v>
      </c>
      <c r="AT18">
        <f>AS18*0.17</f>
        <v>4.486902038621076E-4</v>
      </c>
    </row>
    <row r="19" spans="1:46" ht="19" customHeight="1">
      <c r="A19" s="18"/>
      <c r="D19" s="32"/>
      <c r="F19" s="53"/>
      <c r="G19" s="63" t="s">
        <v>95</v>
      </c>
      <c r="H19" s="67">
        <f>SUM(H6/I6^2,H8/I8^2,H10/I10^2,H11/I11^2,H14/I14^2,H16/I16^2)/SUM(1/I6^2,1/I8^2,1/I10^2,1/I11^2,1/I14^2,1/I16^2)</f>
        <v>0.10714634941682091</v>
      </c>
      <c r="I19" s="67">
        <f>SQRT(1/SUM(1/I6^2,1/I8^2,1/I10^2,1/I11^2,1/I14^2,1/I16^2))</f>
        <v>2.9563884095068281E-3</v>
      </c>
      <c r="M19" s="32"/>
      <c r="O19" s="53"/>
      <c r="P19" s="63" t="s">
        <v>95</v>
      </c>
      <c r="Q19" s="67">
        <f>SUM(Q6/R6^2,Q8/R8^2,Q10/R10^2,Q11/R11^2,Q14/R14^2,Q16/R16^2)/SUM(1/R6^2,1/R8^2,1/R10^2,1/R11^2,1/R14^2,1/R16^2)</f>
        <v>0.14871819034388831</v>
      </c>
      <c r="R19" s="67">
        <f>SQRT(1/SUM(1/R6^2,1/R8^2,1/R10^2,1/R11^2,1/R14^2,1/R16^2))</f>
        <v>2.3279931180345648E-3</v>
      </c>
      <c r="S19" s="21">
        <f>R19*Q19</f>
        <v>3.4621492364712646E-4</v>
      </c>
      <c r="T19" s="21"/>
      <c r="V19" s="32"/>
      <c r="X19" s="53"/>
      <c r="Y19" s="63" t="s">
        <v>95</v>
      </c>
      <c r="Z19" s="67">
        <f>SUM(Z6/AA6^2,Z8/AA8^2,Z10/AA10^2,Z11/AA11^2,Z14/AA14^2,Z16/AA16^2)/SUM(1/AA6^2,1/AA8^2,1/AA10^2,1/AA11^2,1/AA14^2,1/AA16^2)</f>
        <v>0.14850275474735783</v>
      </c>
      <c r="AA19" s="67">
        <f>SQRT(1/SUM(1/AA6^2,1/AA8^2,1/AA10^2,1/AA11^2,1/AA14^2,1/AA16^2))</f>
        <v>1.4128149554909616E-3</v>
      </c>
      <c r="AB19" s="21">
        <f>AA19*Z19</f>
        <v>2.0980691283867354E-4</v>
      </c>
      <c r="AC19" s="21"/>
      <c r="AE19" s="32"/>
      <c r="AG19" s="53"/>
      <c r="AH19" s="63" t="s">
        <v>95</v>
      </c>
      <c r="AI19" s="67">
        <f>SUM(AI6/AJ6^2,AI8/AJ8^2,AI10/AJ10^2,AI11/AJ11^2,AI14/AJ14^2,AI16/AJ16^2)/SUM(1/AJ6^2,1/AJ8^2,1/AJ10^2,1/AJ11^2,1/AJ14^2,1/AJ16^2)</f>
        <v>0.16931718085929751</v>
      </c>
      <c r="AJ19" s="67">
        <f>SQRT(1/SUM(1/AJ6^2,1/AJ8^2,1/AJ10^2,1/AJ11^2,1/AJ14^2,1/AJ16^2))</f>
        <v>1.2545791531756549E-3</v>
      </c>
      <c r="AK19" s="21">
        <f>0.003*AI19</f>
        <v>5.0795154257789253E-4</v>
      </c>
      <c r="AL19" s="21"/>
      <c r="AN19" s="32"/>
      <c r="AP19" s="53"/>
      <c r="AQ19" s="63" t="s">
        <v>95</v>
      </c>
      <c r="AR19" s="67">
        <f>SUM(AR6/AS6^2,AR8/AS8^2,AR10/AS10^2,AR11/AS11^2,AR14/AS14^2,AR16/AS16^2)/SUM(1/AS6^2,1/AS8^2,1/AS10^2,1/AS11^2,1/AS14^2,1/AS16^2)</f>
        <v>0.16972430871331207</v>
      </c>
      <c r="AS19" s="67">
        <f>SQRT(1/SUM(1/AS6^2,1/AS8^2,1/AS10^2,1/AS11^2,1/AS14^2,1/AS16^2))</f>
        <v>1.0269062750071106E-3</v>
      </c>
    </row>
    <row r="20" spans="1:46" ht="19" customHeight="1">
      <c r="A20" s="18"/>
      <c r="D20" s="32"/>
      <c r="F20" s="53"/>
      <c r="G20" s="65" t="s">
        <v>97</v>
      </c>
      <c r="H20" s="67">
        <f>H18/H19</f>
        <v>0.98420783991488581</v>
      </c>
      <c r="I20" s="67">
        <f>SQRT(I18^2+I19^2)</f>
        <v>7.9858275595728247E-3</v>
      </c>
      <c r="M20" s="32"/>
      <c r="O20" s="53"/>
      <c r="P20" s="65" t="s">
        <v>97</v>
      </c>
      <c r="Q20" s="67">
        <f>Q18/Q19</f>
        <v>1.0248948580857113</v>
      </c>
      <c r="R20" s="67">
        <f>SQRT(R18^2+R19^2)</f>
        <v>5.1035624290398946E-3</v>
      </c>
      <c r="S20" s="21"/>
      <c r="T20" s="21"/>
      <c r="V20" s="32"/>
      <c r="X20" s="53"/>
      <c r="Y20" s="65" t="s">
        <v>97</v>
      </c>
      <c r="Z20" s="67">
        <f>Z18/Z19</f>
        <v>1.0220722554444408</v>
      </c>
      <c r="AA20" s="67">
        <f>SQRT(AA18^2+AA19^2)</f>
        <v>4.7365604413287313E-3</v>
      </c>
      <c r="AB20" s="21"/>
      <c r="AC20" s="21"/>
      <c r="AE20" s="32"/>
      <c r="AG20" s="53"/>
      <c r="AH20" s="65" t="s">
        <v>97</v>
      </c>
      <c r="AI20" s="67">
        <f>AI18/AI19</f>
        <v>1.0065251057854259</v>
      </c>
      <c r="AJ20" s="67">
        <f>SQRT(AJ18^2+AJ19^2)</f>
        <v>3.1142629824953056E-3</v>
      </c>
      <c r="AK20" s="21"/>
      <c r="AL20" s="21"/>
      <c r="AN20" s="32"/>
      <c r="AP20" s="53"/>
      <c r="AQ20" s="65" t="s">
        <v>97</v>
      </c>
      <c r="AR20" s="67">
        <f>AR18/AR19</f>
        <v>0.99277134110651089</v>
      </c>
      <c r="AS20" s="67">
        <f>SQRT(AS18^2+AS19^2)</f>
        <v>2.832088765542605E-3</v>
      </c>
    </row>
    <row r="21" spans="1:46" ht="19" customHeight="1">
      <c r="A21" s="18"/>
      <c r="D21" s="32"/>
      <c r="F21" s="53"/>
      <c r="G21" s="65" t="s">
        <v>99</v>
      </c>
      <c r="H21" s="67">
        <f>1000*(H20-1)</f>
        <v>-15.792160085114194</v>
      </c>
      <c r="I21" s="67">
        <f>I20*1000</f>
        <v>7.985827559572825</v>
      </c>
      <c r="M21" s="32"/>
      <c r="O21" s="53"/>
      <c r="P21" s="65" t="s">
        <v>99</v>
      </c>
      <c r="Q21" s="67">
        <f>1000*(Q20-1)</f>
        <v>24.894858085711348</v>
      </c>
      <c r="R21" s="67">
        <f>R20*1000</f>
        <v>5.1035624290398944</v>
      </c>
      <c r="S21" s="21"/>
      <c r="T21" s="21"/>
      <c r="V21" s="32"/>
      <c r="X21" s="53"/>
      <c r="Y21" s="65" t="s">
        <v>99</v>
      </c>
      <c r="Z21" s="67">
        <f>1000*(Z20-1)</f>
        <v>22.072255444440803</v>
      </c>
      <c r="AA21" s="67">
        <f>AA20*1000</f>
        <v>4.7365604413287317</v>
      </c>
      <c r="AB21" s="21"/>
      <c r="AC21" s="21"/>
      <c r="AE21" s="32"/>
      <c r="AG21" s="53"/>
      <c r="AH21" s="65" t="s">
        <v>99</v>
      </c>
      <c r="AI21" s="67">
        <f>1000*(AI20-1)</f>
        <v>6.5251057854258665</v>
      </c>
      <c r="AJ21" s="67">
        <f>AJ20*1000</f>
        <v>3.1142629824953056</v>
      </c>
      <c r="AK21" s="21"/>
      <c r="AL21" s="21"/>
      <c r="AN21" s="32"/>
      <c r="AP21" s="53"/>
      <c r="AQ21" s="65" t="s">
        <v>99</v>
      </c>
      <c r="AR21" s="67">
        <f>1000*(AR20-1)</f>
        <v>-7.2286588934891149</v>
      </c>
      <c r="AS21" s="67">
        <f>AS20*1000</f>
        <v>2.832088765542605</v>
      </c>
    </row>
    <row r="22" spans="1:46" ht="19" customHeight="1">
      <c r="A22" s="19"/>
      <c r="G22" s="65" t="s">
        <v>98</v>
      </c>
      <c r="H22" s="64">
        <f>1000*((((F1/1000)+1)*H20)-1)</f>
        <v>-39.216306675088461</v>
      </c>
      <c r="I22" s="64">
        <f>SQRT(I21^2+G1^2)</f>
        <v>8.0008463184361229</v>
      </c>
      <c r="P22" s="65" t="s">
        <v>98</v>
      </c>
      <c r="Q22" s="64">
        <f>1000*((((O1/1000)+1)*Q20)-1)</f>
        <v>-0.11257645158002649</v>
      </c>
      <c r="R22" s="64">
        <f>SQRT(R21^2+P1^2)</f>
        <v>5.1341941399899937</v>
      </c>
      <c r="Y22" s="65" t="s">
        <v>98</v>
      </c>
      <c r="Z22" s="64">
        <f>1000*((((Y1/1000)+1)*Z20)-1)</f>
        <v>-2.5596859117702486</v>
      </c>
      <c r="AA22" s="64">
        <f>SQRT(AA21^2+Z1^2)</f>
        <v>4.7588449033731104</v>
      </c>
      <c r="AH22" s="65" t="s">
        <v>98</v>
      </c>
      <c r="AI22" s="64">
        <f>1000*((((AH1/1000)+1)*AI20)-1)</f>
        <v>-17.832801774581462</v>
      </c>
      <c r="AJ22" s="64">
        <f>SQRT(AJ21^2+AI1^2)</f>
        <v>3.1424566702089236</v>
      </c>
      <c r="AQ22" s="65" t="s">
        <v>98</v>
      </c>
      <c r="AR22" s="64">
        <f>1000*((((AP1/1000)+1)*AR20)-1)</f>
        <v>-32.246496689373181</v>
      </c>
      <c r="AS22" s="64">
        <f>SQRT(AS21^2+AQ1^2)</f>
        <v>2.8741654051067829</v>
      </c>
    </row>
    <row r="23" spans="1:46">
      <c r="A23" s="19"/>
    </row>
    <row r="24" spans="1:46" ht="31">
      <c r="A24" s="33" t="s">
        <v>62</v>
      </c>
    </row>
    <row r="25" spans="1:46">
      <c r="A25" s="19" t="s">
        <v>63</v>
      </c>
    </row>
    <row r="26" spans="1:46">
      <c r="A26" s="34">
        <v>44668</v>
      </c>
      <c r="B26" s="35" t="s">
        <v>54</v>
      </c>
      <c r="C26" s="36" t="s">
        <v>64</v>
      </c>
      <c r="D26" s="38" t="s">
        <v>29</v>
      </c>
      <c r="E26" s="36" t="s">
        <v>22</v>
      </c>
      <c r="F26" s="45">
        <v>19800000</v>
      </c>
      <c r="G26" s="37">
        <v>5</v>
      </c>
      <c r="H26" s="21">
        <v>0.107712285231472</v>
      </c>
      <c r="I26" s="21">
        <v>8.0425674635414696E-3</v>
      </c>
      <c r="J26">
        <f>H26*I26</f>
        <v>8.6628332062633508E-4</v>
      </c>
      <c r="L26" s="36" t="s">
        <v>65</v>
      </c>
      <c r="M26" s="38" t="s">
        <v>29</v>
      </c>
      <c r="N26" s="36" t="s">
        <v>22</v>
      </c>
      <c r="O26" s="45">
        <v>5540000</v>
      </c>
      <c r="P26" s="37">
        <v>5</v>
      </c>
      <c r="Q26" s="21">
        <v>0.149176567597057</v>
      </c>
      <c r="R26" s="21">
        <v>4.6440205913524301E-3</v>
      </c>
      <c r="S26" s="21">
        <f>Q26*R26</f>
        <v>6.9277905166801039E-4</v>
      </c>
      <c r="T26" s="21"/>
      <c r="U26" s="36" t="s">
        <v>66</v>
      </c>
      <c r="V26" s="38" t="s">
        <v>29</v>
      </c>
      <c r="W26" s="36" t="s">
        <v>22</v>
      </c>
      <c r="X26" s="45">
        <v>2950000</v>
      </c>
      <c r="Y26" s="37">
        <v>5</v>
      </c>
      <c r="Z26" s="21">
        <v>0.15051126854191499</v>
      </c>
      <c r="AA26" s="21">
        <v>3.26896477360003E-3</v>
      </c>
      <c r="AB26" s="21">
        <f>Z26*AA26</f>
        <v>4.920160348933745E-4</v>
      </c>
      <c r="AC26" s="21"/>
      <c r="AD26" s="36" t="s">
        <v>67</v>
      </c>
      <c r="AE26" s="38" t="s">
        <v>29</v>
      </c>
      <c r="AF26" s="36" t="s">
        <v>24</v>
      </c>
      <c r="AG26" s="45">
        <v>4960000</v>
      </c>
      <c r="AH26" s="37">
        <v>5</v>
      </c>
      <c r="AI26" s="21">
        <v>0.16940595495474201</v>
      </c>
      <c r="AJ26" s="21">
        <v>1.85990537046101E-3</v>
      </c>
      <c r="AK26" s="21">
        <f>AI26*AJ26</f>
        <v>3.1507904540840057E-4</v>
      </c>
      <c r="AL26" s="21"/>
      <c r="AM26" s="36" t="s">
        <v>68</v>
      </c>
      <c r="AN26" s="38" t="s">
        <v>29</v>
      </c>
      <c r="AO26" s="36" t="s">
        <v>24</v>
      </c>
      <c r="AP26" s="45">
        <v>4080000</v>
      </c>
      <c r="AQ26" s="37">
        <v>5</v>
      </c>
      <c r="AR26" s="21">
        <v>0.16991581214191601</v>
      </c>
      <c r="AS26" s="21">
        <v>1.99141446186609E-3</v>
      </c>
      <c r="AT26">
        <f>AR26*AS26</f>
        <v>3.3837280559913333E-4</v>
      </c>
    </row>
    <row r="27" spans="1:46">
      <c r="A27" s="34">
        <v>44668</v>
      </c>
      <c r="B27" s="35" t="s">
        <v>57</v>
      </c>
      <c r="C27" s="36" t="s">
        <v>64</v>
      </c>
      <c r="D27" s="38" t="s">
        <v>29</v>
      </c>
      <c r="E27" s="36" t="s">
        <v>22</v>
      </c>
      <c r="F27" s="45">
        <v>670000</v>
      </c>
      <c r="G27" s="37">
        <f>F27/F26*G26</f>
        <v>0.1691919191919192</v>
      </c>
      <c r="H27" s="21">
        <v>0.109190971822458</v>
      </c>
      <c r="I27" s="21">
        <v>5.3251017011009096E-3</v>
      </c>
      <c r="J27">
        <f t="shared" ref="J27:J35" si="7">H27*I27</f>
        <v>5.8145302979663261E-4</v>
      </c>
      <c r="L27" s="36" t="s">
        <v>65</v>
      </c>
      <c r="M27" s="38" t="s">
        <v>29</v>
      </c>
      <c r="N27" s="36" t="s">
        <v>22</v>
      </c>
      <c r="O27" s="45">
        <v>113000</v>
      </c>
      <c r="P27" s="37">
        <f>O27/O26*P26</f>
        <v>0.101985559566787</v>
      </c>
      <c r="Q27" s="21">
        <v>0.149213535608436</v>
      </c>
      <c r="R27" s="21">
        <v>4.6360555807570102E-3</v>
      </c>
      <c r="S27" s="21">
        <f t="shared" ref="S27:S35" si="8">Q27*R27</f>
        <v>6.9176224448197466E-4</v>
      </c>
      <c r="T27" s="21"/>
      <c r="U27" s="36" t="s">
        <v>66</v>
      </c>
      <c r="V27" s="38" t="s">
        <v>29</v>
      </c>
      <c r="W27" s="36" t="s">
        <v>22</v>
      </c>
      <c r="X27" s="45">
        <v>54400</v>
      </c>
      <c r="Y27" s="37">
        <f>X27/X26*Y26</f>
        <v>9.2203389830508464E-2</v>
      </c>
      <c r="Z27" s="21">
        <v>0.150956003081718</v>
      </c>
      <c r="AA27" s="21">
        <v>3.8069622559348398E-3</v>
      </c>
      <c r="AB27" s="21">
        <f t="shared" ref="AB27:AB35" si="9">Z27*AA27</f>
        <v>5.7468380603888374E-4</v>
      </c>
      <c r="AC27" s="21"/>
      <c r="AD27" s="36" t="s">
        <v>67</v>
      </c>
      <c r="AE27" s="38" t="s">
        <v>29</v>
      </c>
      <c r="AF27" s="36" t="s">
        <v>24</v>
      </c>
      <c r="AG27" s="45">
        <v>380000</v>
      </c>
      <c r="AH27" s="37">
        <f>AG27/AG26*AH26</f>
        <v>0.38306451612903225</v>
      </c>
      <c r="AI27" s="21">
        <v>0.16925618830670999</v>
      </c>
      <c r="AJ27" s="21">
        <v>2.5403301284252998E-3</v>
      </c>
      <c r="AK27" s="21">
        <f t="shared" ref="AK27:AK35" si="10">AI27*AJ27</f>
        <v>4.2996659457796135E-4</v>
      </c>
      <c r="AL27" s="21"/>
      <c r="AM27" s="36" t="s">
        <v>68</v>
      </c>
      <c r="AN27" s="38" t="s">
        <v>29</v>
      </c>
      <c r="AO27" s="36" t="s">
        <v>24</v>
      </c>
      <c r="AP27" s="45">
        <v>1530000</v>
      </c>
      <c r="AQ27" s="37">
        <f>AP27/AP26*AQ26</f>
        <v>1.875</v>
      </c>
      <c r="AR27" s="21">
        <v>0.16901113152545</v>
      </c>
      <c r="AS27" s="21">
        <v>2.04237001868761E-3</v>
      </c>
      <c r="AT27">
        <f t="shared" ref="AT27:AT35" si="11">AR27*AS27</f>
        <v>3.4518326785204745E-4</v>
      </c>
    </row>
    <row r="28" spans="1:46">
      <c r="A28" s="34">
        <v>44668</v>
      </c>
      <c r="B28" s="69" t="s">
        <v>53</v>
      </c>
      <c r="C28" s="36" t="s">
        <v>64</v>
      </c>
      <c r="D28" s="38" t="s">
        <v>29</v>
      </c>
      <c r="E28" s="36" t="s">
        <v>22</v>
      </c>
      <c r="F28" s="45">
        <v>131000</v>
      </c>
      <c r="G28" s="37">
        <f>F28/F27*G27</f>
        <v>3.3080808080808079E-2</v>
      </c>
      <c r="H28" s="21">
        <v>0.10814802469809399</v>
      </c>
      <c r="I28" s="21">
        <v>7.5064559619208802E-3</v>
      </c>
      <c r="J28">
        <f t="shared" si="7"/>
        <v>8.1180838476497424E-4</v>
      </c>
      <c r="L28" s="36" t="s">
        <v>65</v>
      </c>
      <c r="M28" s="38" t="s">
        <v>29</v>
      </c>
      <c r="N28" s="36" t="s">
        <v>22</v>
      </c>
      <c r="O28" s="45">
        <v>25400</v>
      </c>
      <c r="P28" s="37">
        <f>O28/O27*P27</f>
        <v>2.2924187725631769E-2</v>
      </c>
      <c r="Q28" s="21">
        <v>0.15092993736985799</v>
      </c>
      <c r="R28" s="21">
        <v>7.7771888983931402E-3</v>
      </c>
      <c r="S28" s="21">
        <f t="shared" si="8"/>
        <v>1.1738106333480315E-3</v>
      </c>
      <c r="T28" s="21"/>
      <c r="U28" s="36" t="s">
        <v>66</v>
      </c>
      <c r="V28" s="38" t="s">
        <v>29</v>
      </c>
      <c r="W28" s="36" t="s">
        <v>22</v>
      </c>
      <c r="X28" s="45">
        <v>12900</v>
      </c>
      <c r="Y28" s="37">
        <f>X28/X27*Y27</f>
        <v>2.1864406779661012E-2</v>
      </c>
      <c r="Z28" s="21">
        <v>0.15165001553761301</v>
      </c>
      <c r="AA28" s="21">
        <v>8.5000886115316494E-3</v>
      </c>
      <c r="AB28" s="21">
        <f t="shared" si="9"/>
        <v>1.289038570009862E-3</v>
      </c>
      <c r="AC28" s="21"/>
      <c r="AD28" s="36" t="s">
        <v>67</v>
      </c>
      <c r="AE28" s="38" t="s">
        <v>29</v>
      </c>
      <c r="AF28" s="36" t="s">
        <v>24</v>
      </c>
      <c r="AG28" s="45">
        <v>152000</v>
      </c>
      <c r="AH28" s="37">
        <f>AG28/AG27*AH27</f>
        <v>0.15322580645161291</v>
      </c>
      <c r="AI28" s="21">
        <v>0.17082979195693301</v>
      </c>
      <c r="AJ28" s="21">
        <v>4.9225845799614303E-3</v>
      </c>
      <c r="AK28" s="21">
        <f t="shared" si="10"/>
        <v>8.409240996852176E-4</v>
      </c>
      <c r="AL28" s="21"/>
      <c r="AM28" s="36" t="s">
        <v>68</v>
      </c>
      <c r="AN28" s="38" t="s">
        <v>29</v>
      </c>
      <c r="AO28" s="36" t="s">
        <v>24</v>
      </c>
      <c r="AP28" s="45">
        <v>469000</v>
      </c>
      <c r="AQ28" s="37">
        <f>AP28/AP27*AQ27</f>
        <v>0.57475490196078438</v>
      </c>
      <c r="AR28" s="21">
        <v>0.17007360728265</v>
      </c>
      <c r="AS28" s="21">
        <v>3.4872618079261502E-3</v>
      </c>
      <c r="AT28">
        <f t="shared" si="11"/>
        <v>5.9309119521301613E-4</v>
      </c>
    </row>
    <row r="29" spans="1:46">
      <c r="A29" s="34">
        <v>44668</v>
      </c>
      <c r="B29" s="35" t="s">
        <v>60</v>
      </c>
      <c r="C29" s="36" t="s">
        <v>64</v>
      </c>
      <c r="D29" s="38" t="s">
        <v>29</v>
      </c>
      <c r="E29" s="39" t="s">
        <v>22</v>
      </c>
      <c r="F29" s="36"/>
      <c r="G29" s="37"/>
      <c r="H29" s="21">
        <v>0.10916528934169301</v>
      </c>
      <c r="I29" s="21">
        <v>4.99509594114852E-3</v>
      </c>
      <c r="J29">
        <f t="shared" si="7"/>
        <v>5.4529109370499455E-4</v>
      </c>
      <c r="L29" s="36" t="s">
        <v>65</v>
      </c>
      <c r="M29" s="38" t="s">
        <v>29</v>
      </c>
      <c r="N29" s="36" t="s">
        <v>22</v>
      </c>
      <c r="O29" s="36"/>
      <c r="P29" s="37"/>
      <c r="Q29" s="21">
        <v>0.15106658626299599</v>
      </c>
      <c r="R29" s="21">
        <v>8.4751681814315798E-3</v>
      </c>
      <c r="S29" s="21">
        <f t="shared" si="8"/>
        <v>1.2803147251736326E-3</v>
      </c>
      <c r="T29" s="21"/>
      <c r="U29" s="36" t="s">
        <v>66</v>
      </c>
      <c r="V29" s="38" t="s">
        <v>29</v>
      </c>
      <c r="W29" s="36" t="s">
        <v>22</v>
      </c>
      <c r="X29" s="45"/>
      <c r="Y29" s="37"/>
      <c r="Z29" s="21">
        <v>0.15037373119819999</v>
      </c>
      <c r="AA29" s="21">
        <v>4.5674881315074904E-3</v>
      </c>
      <c r="AB29" s="21">
        <f t="shared" si="9"/>
        <v>6.8683023253827611E-4</v>
      </c>
      <c r="AC29" s="21"/>
      <c r="AD29" s="36" t="s">
        <v>67</v>
      </c>
      <c r="AE29" s="38" t="s">
        <v>29</v>
      </c>
      <c r="AF29" s="36" t="s">
        <v>24</v>
      </c>
      <c r="AG29" s="36"/>
      <c r="AH29" s="37"/>
      <c r="AI29" s="21">
        <v>0.16876461144514501</v>
      </c>
      <c r="AJ29" s="21">
        <v>3.9593904653499896E-3</v>
      </c>
      <c r="AK29" s="21">
        <f t="shared" si="10"/>
        <v>6.6820499344440285E-4</v>
      </c>
      <c r="AL29" s="21"/>
      <c r="AM29" s="36" t="s">
        <v>68</v>
      </c>
      <c r="AN29" s="38" t="s">
        <v>29</v>
      </c>
      <c r="AO29" s="36" t="s">
        <v>24</v>
      </c>
      <c r="AP29" s="36"/>
      <c r="AQ29" s="37"/>
      <c r="AR29" s="21">
        <v>0.17017299707108399</v>
      </c>
      <c r="AS29" s="21">
        <v>2.1986963860442499E-3</v>
      </c>
      <c r="AT29">
        <f t="shared" si="11"/>
        <v>3.7415875366251112E-4</v>
      </c>
    </row>
    <row r="30" spans="1:46">
      <c r="A30" s="34">
        <v>44668</v>
      </c>
      <c r="B30" s="69" t="s">
        <v>58</v>
      </c>
      <c r="C30" s="36" t="s">
        <v>64</v>
      </c>
      <c r="D30" s="38" t="s">
        <v>29</v>
      </c>
      <c r="E30" s="39" t="s">
        <v>22</v>
      </c>
      <c r="F30" s="45">
        <v>228000</v>
      </c>
      <c r="G30" s="37">
        <f>F30/F27*G27</f>
        <v>5.7575757575757579E-2</v>
      </c>
      <c r="H30" s="21">
        <v>0.109126862225673</v>
      </c>
      <c r="I30" s="21">
        <v>7.4246527019216496E-3</v>
      </c>
      <c r="J30">
        <f t="shared" si="7"/>
        <v>8.1022905247607468E-4</v>
      </c>
      <c r="L30" s="36" t="s">
        <v>65</v>
      </c>
      <c r="M30" s="38" t="s">
        <v>29</v>
      </c>
      <c r="N30" s="36" t="s">
        <v>22</v>
      </c>
      <c r="O30" s="45">
        <v>45500</v>
      </c>
      <c r="P30" s="37">
        <f>O30/O27*P27</f>
        <v>4.1064981949458484E-2</v>
      </c>
      <c r="Q30" s="21">
        <v>0.152152088474208</v>
      </c>
      <c r="R30" s="21">
        <v>5.9653992037501302E-3</v>
      </c>
      <c r="S30" s="21">
        <f t="shared" si="8"/>
        <v>9.076479474329597E-4</v>
      </c>
      <c r="T30" s="21"/>
      <c r="U30" s="36" t="s">
        <v>66</v>
      </c>
      <c r="V30" s="38" t="s">
        <v>29</v>
      </c>
      <c r="W30" s="36" t="s">
        <v>22</v>
      </c>
      <c r="X30" s="45">
        <v>20800</v>
      </c>
      <c r="Y30" s="37">
        <f>X30/X27*Y27</f>
        <v>3.5254237288135586E-2</v>
      </c>
      <c r="Z30" s="21">
        <v>0.15100973322307301</v>
      </c>
      <c r="AA30" s="21">
        <v>7.0306673066036903E-3</v>
      </c>
      <c r="AB30" s="21">
        <f t="shared" si="9"/>
        <v>1.0616991943504046E-3</v>
      </c>
      <c r="AC30" s="21"/>
      <c r="AD30" s="36" t="s">
        <v>67</v>
      </c>
      <c r="AE30" s="38" t="s">
        <v>29</v>
      </c>
      <c r="AF30" s="36" t="s">
        <v>24</v>
      </c>
      <c r="AG30" s="45">
        <v>300000</v>
      </c>
      <c r="AH30" s="37">
        <f>AG30/AG27*AH27</f>
        <v>0.30241935483870969</v>
      </c>
      <c r="AI30" s="21">
        <v>0.17148153110257999</v>
      </c>
      <c r="AJ30" s="21">
        <v>3.5866308049730899E-3</v>
      </c>
      <c r="AK30" s="21">
        <f t="shared" si="10"/>
        <v>6.1504094193646445E-4</v>
      </c>
      <c r="AL30" s="21"/>
      <c r="AM30" s="36" t="s">
        <v>68</v>
      </c>
      <c r="AN30" s="38" t="s">
        <v>29</v>
      </c>
      <c r="AO30" s="36" t="s">
        <v>24</v>
      </c>
      <c r="AP30" s="45">
        <v>922000</v>
      </c>
      <c r="AQ30" s="37">
        <f>AP30/AP27*AQ27</f>
        <v>1.1299019607843137</v>
      </c>
      <c r="AR30" s="21">
        <v>0.16944265275338299</v>
      </c>
      <c r="AS30" s="21">
        <v>3.2256921086235499E-3</v>
      </c>
      <c r="AT30">
        <f t="shared" si="11"/>
        <v>5.4656982785082793E-4</v>
      </c>
    </row>
    <row r="31" spans="1:46">
      <c r="A31" s="34">
        <v>44668</v>
      </c>
      <c r="B31" s="35" t="s">
        <v>55</v>
      </c>
      <c r="C31" s="36" t="s">
        <v>64</v>
      </c>
      <c r="D31" s="38" t="s">
        <v>29</v>
      </c>
      <c r="E31" s="39" t="s">
        <v>22</v>
      </c>
      <c r="F31" s="36"/>
      <c r="G31" s="37"/>
      <c r="H31" s="21">
        <v>0.107195259897164</v>
      </c>
      <c r="I31" s="21">
        <v>5.8188965356427797E-3</v>
      </c>
      <c r="J31">
        <f t="shared" si="7"/>
        <v>6.2375812645293501E-4</v>
      </c>
      <c r="L31" s="36" t="s">
        <v>65</v>
      </c>
      <c r="M31" s="38" t="s">
        <v>29</v>
      </c>
      <c r="N31" s="36" t="s">
        <v>22</v>
      </c>
      <c r="O31" s="36"/>
      <c r="P31" s="37"/>
      <c r="Q31" s="21">
        <v>0.152543008315317</v>
      </c>
      <c r="R31" s="21">
        <v>4.2023644178769198E-3</v>
      </c>
      <c r="S31" s="21">
        <f t="shared" si="8"/>
        <v>6.4104131034019123E-4</v>
      </c>
      <c r="T31" s="21"/>
      <c r="U31" s="36" t="s">
        <v>66</v>
      </c>
      <c r="V31" s="38" t="s">
        <v>29</v>
      </c>
      <c r="W31" s="36" t="s">
        <v>22</v>
      </c>
      <c r="X31" s="36"/>
      <c r="Y31" s="37"/>
      <c r="Z31" s="21">
        <v>0.15107654898897799</v>
      </c>
      <c r="AA31" s="21">
        <v>3.4395311876417702E-3</v>
      </c>
      <c r="AB31" s="21">
        <f t="shared" si="9"/>
        <v>5.1963250196887956E-4</v>
      </c>
      <c r="AC31" s="21"/>
      <c r="AD31" s="36" t="s">
        <v>67</v>
      </c>
      <c r="AE31" s="38" t="s">
        <v>29</v>
      </c>
      <c r="AF31" s="36" t="s">
        <v>24</v>
      </c>
      <c r="AG31" s="36"/>
      <c r="AH31" s="37"/>
      <c r="AI31" s="21">
        <v>0.16895550743371501</v>
      </c>
      <c r="AJ31" s="21">
        <v>2.28614093469536E-3</v>
      </c>
      <c r="AK31" s="21">
        <f t="shared" si="10"/>
        <v>3.8625610168644211E-4</v>
      </c>
      <c r="AL31" s="21"/>
      <c r="AM31" s="36" t="s">
        <v>68</v>
      </c>
      <c r="AN31" s="38" t="s">
        <v>29</v>
      </c>
      <c r="AO31" s="36" t="s">
        <v>24</v>
      </c>
      <c r="AP31" s="36"/>
      <c r="AQ31" s="37"/>
      <c r="AR31" s="21">
        <v>0.16978105645264899</v>
      </c>
      <c r="AS31" s="21">
        <v>2.1732909686946601E-3</v>
      </c>
      <c r="AT31">
        <f t="shared" si="11"/>
        <v>3.6898363664398029E-4</v>
      </c>
    </row>
    <row r="32" spans="1:46">
      <c r="A32" s="34">
        <v>44668</v>
      </c>
      <c r="B32" s="69" t="s">
        <v>59</v>
      </c>
      <c r="C32" s="36" t="s">
        <v>64</v>
      </c>
      <c r="D32" s="38" t="s">
        <v>29</v>
      </c>
      <c r="E32" s="39" t="s">
        <v>22</v>
      </c>
      <c r="F32" s="36"/>
      <c r="G32" s="37"/>
      <c r="H32" s="21">
        <v>0.109001084190786</v>
      </c>
      <c r="I32" s="21">
        <v>7.20517888625771E-3</v>
      </c>
      <c r="J32">
        <f t="shared" si="7"/>
        <v>7.8537231039065036E-4</v>
      </c>
      <c r="L32" s="36" t="s">
        <v>65</v>
      </c>
      <c r="M32" s="38" t="s">
        <v>29</v>
      </c>
      <c r="N32" s="36" t="s">
        <v>22</v>
      </c>
      <c r="O32" s="36"/>
      <c r="P32" s="37"/>
      <c r="Q32" s="21">
        <v>0.152868320003891</v>
      </c>
      <c r="R32" s="21">
        <v>5.3097357441922498E-3</v>
      </c>
      <c r="S32" s="21">
        <f t="shared" si="8"/>
        <v>8.1169038287927917E-4</v>
      </c>
      <c r="T32" s="21"/>
      <c r="U32" s="36" t="s">
        <v>66</v>
      </c>
      <c r="V32" s="38" t="s">
        <v>29</v>
      </c>
      <c r="W32" s="36" t="s">
        <v>22</v>
      </c>
      <c r="X32" s="36"/>
      <c r="Y32" s="37"/>
      <c r="Z32" s="21">
        <v>0.151931279086233</v>
      </c>
      <c r="AA32" s="21">
        <v>6.4759385896500698E-3</v>
      </c>
      <c r="AB32" s="21">
        <f t="shared" si="9"/>
        <v>9.8389763320943092E-4</v>
      </c>
      <c r="AC32" s="21"/>
      <c r="AD32" s="36" t="s">
        <v>67</v>
      </c>
      <c r="AE32" s="38" t="s">
        <v>29</v>
      </c>
      <c r="AF32" s="36" t="s">
        <v>24</v>
      </c>
      <c r="AG32" s="36"/>
      <c r="AH32" s="37"/>
      <c r="AI32" s="21">
        <v>0.17001378937408401</v>
      </c>
      <c r="AJ32" s="21">
        <v>3.4170763674800401E-3</v>
      </c>
      <c r="AK32" s="21">
        <f t="shared" si="10"/>
        <v>5.809501018159116E-4</v>
      </c>
      <c r="AL32" s="21"/>
      <c r="AM32" s="36" t="s">
        <v>68</v>
      </c>
      <c r="AN32" s="38" t="s">
        <v>29</v>
      </c>
      <c r="AO32" s="36" t="s">
        <v>24</v>
      </c>
      <c r="AP32" s="36"/>
      <c r="AQ32" s="37"/>
      <c r="AR32" s="21">
        <v>0.16992762484811499</v>
      </c>
      <c r="AS32" s="21">
        <v>3.1017128992043399E-3</v>
      </c>
      <c r="AT32">
        <f t="shared" si="11"/>
        <v>5.2706670592255422E-4</v>
      </c>
    </row>
    <row r="33" spans="1:120">
      <c r="A33" s="34">
        <v>44668</v>
      </c>
      <c r="B33" s="35" t="s">
        <v>61</v>
      </c>
      <c r="C33" s="36" t="s">
        <v>64</v>
      </c>
      <c r="D33" s="38" t="s">
        <v>29</v>
      </c>
      <c r="E33" s="39" t="s">
        <v>22</v>
      </c>
      <c r="F33" s="36"/>
      <c r="G33" s="37"/>
      <c r="H33" s="21">
        <v>0.10803553408147</v>
      </c>
      <c r="I33" s="21">
        <v>4.9043377834522396E-3</v>
      </c>
      <c r="J33">
        <f t="shared" si="7"/>
        <v>5.2984275175119546E-4</v>
      </c>
      <c r="L33" s="36" t="s">
        <v>65</v>
      </c>
      <c r="M33" s="38" t="s">
        <v>29</v>
      </c>
      <c r="N33" s="36" t="s">
        <v>22</v>
      </c>
      <c r="O33" s="36"/>
      <c r="P33" s="37"/>
      <c r="Q33" s="21">
        <v>0.14997468709849099</v>
      </c>
      <c r="R33" s="21">
        <v>5.4407083718557899E-3</v>
      </c>
      <c r="S33" s="21">
        <f t="shared" si="8"/>
        <v>8.1596853566321249E-4</v>
      </c>
      <c r="T33" s="21"/>
      <c r="U33" s="36" t="s">
        <v>66</v>
      </c>
      <c r="V33" s="38" t="s">
        <v>29</v>
      </c>
      <c r="W33" s="36" t="s">
        <v>22</v>
      </c>
      <c r="X33" s="36"/>
      <c r="Y33" s="37"/>
      <c r="Z33" s="21">
        <v>0.15023887942924699</v>
      </c>
      <c r="AA33" s="21">
        <v>4.1365648173455104E-3</v>
      </c>
      <c r="AB33" s="21">
        <f t="shared" si="9"/>
        <v>6.2147286284443726E-4</v>
      </c>
      <c r="AC33" s="21"/>
      <c r="AD33" s="36" t="s">
        <v>67</v>
      </c>
      <c r="AE33" s="38" t="s">
        <v>29</v>
      </c>
      <c r="AF33" s="36" t="s">
        <v>24</v>
      </c>
      <c r="AG33" s="36"/>
      <c r="AH33" s="37"/>
      <c r="AI33" s="21">
        <v>0.17041511238898699</v>
      </c>
      <c r="AJ33" s="21">
        <v>3.07875530372086E-3</v>
      </c>
      <c r="AK33" s="21">
        <f t="shared" si="10"/>
        <v>5.2466643110178016E-4</v>
      </c>
      <c r="AL33" s="21"/>
      <c r="AM33" s="36" t="s">
        <v>68</v>
      </c>
      <c r="AN33" s="38" t="s">
        <v>29</v>
      </c>
      <c r="AO33" s="36" t="s">
        <v>24</v>
      </c>
      <c r="AP33" s="36"/>
      <c r="AQ33" s="37"/>
      <c r="AR33" s="21">
        <v>0.16925285077499</v>
      </c>
      <c r="AS33" s="21">
        <v>2.0535389521304601E-3</v>
      </c>
      <c r="AT33">
        <f t="shared" si="11"/>
        <v>3.475673218255661E-4</v>
      </c>
    </row>
    <row r="34" spans="1:120">
      <c r="A34" s="34">
        <v>44668</v>
      </c>
      <c r="B34" s="35" t="s">
        <v>56</v>
      </c>
      <c r="C34" s="36" t="s">
        <v>64</v>
      </c>
      <c r="D34" s="38" t="s">
        <v>29</v>
      </c>
      <c r="E34" s="39" t="s">
        <v>22</v>
      </c>
      <c r="F34" s="36"/>
      <c r="G34" s="37"/>
      <c r="H34" s="21">
        <v>0.108046249371357</v>
      </c>
      <c r="I34" s="21">
        <v>5.8193782115012497E-3</v>
      </c>
      <c r="J34">
        <f t="shared" si="7"/>
        <v>6.2876198942610553E-4</v>
      </c>
      <c r="L34" s="36" t="s">
        <v>65</v>
      </c>
      <c r="M34" s="38" t="s">
        <v>29</v>
      </c>
      <c r="N34" s="36" t="s">
        <v>22</v>
      </c>
      <c r="O34" s="36"/>
      <c r="P34" s="37"/>
      <c r="Q34" s="21">
        <v>0.14938015248803199</v>
      </c>
      <c r="R34" s="21">
        <v>4.1201071973064798E-3</v>
      </c>
      <c r="S34" s="21">
        <f t="shared" si="8"/>
        <v>6.1546224140068004E-4</v>
      </c>
      <c r="T34" s="21"/>
      <c r="U34" s="36" t="s">
        <v>66</v>
      </c>
      <c r="V34" s="38" t="s">
        <v>29</v>
      </c>
      <c r="W34" s="36" t="s">
        <v>22</v>
      </c>
      <c r="X34" s="36"/>
      <c r="Y34" s="37"/>
      <c r="Z34" s="21">
        <v>0.14941799102602801</v>
      </c>
      <c r="AA34" s="21">
        <v>3.4273474979291101E-3</v>
      </c>
      <c r="AB34" s="21">
        <f t="shared" si="9"/>
        <v>5.1210737768865133E-4</v>
      </c>
      <c r="AC34" s="21"/>
      <c r="AD34" s="36" t="s">
        <v>67</v>
      </c>
      <c r="AE34" s="38" t="s">
        <v>29</v>
      </c>
      <c r="AF34" s="36" t="s">
        <v>24</v>
      </c>
      <c r="AG34" s="36"/>
      <c r="AH34" s="37"/>
      <c r="AI34" s="21">
        <v>0.16997427044125599</v>
      </c>
      <c r="AJ34" s="21">
        <v>2.2355140567425899E-3</v>
      </c>
      <c r="AK34" s="21">
        <f t="shared" si="10"/>
        <v>3.7997987085599427E-4</v>
      </c>
      <c r="AL34" s="21"/>
      <c r="AM34" s="36" t="s">
        <v>68</v>
      </c>
      <c r="AN34" s="38" t="s">
        <v>29</v>
      </c>
      <c r="AO34" s="36" t="s">
        <v>24</v>
      </c>
      <c r="AP34" s="36"/>
      <c r="AQ34" s="37"/>
      <c r="AR34" s="21">
        <v>0.16956712648386299</v>
      </c>
      <c r="AS34" s="21">
        <v>2.3626063290896498E-3</v>
      </c>
      <c r="AT34">
        <f t="shared" si="11"/>
        <v>4.0062036623631989E-4</v>
      </c>
    </row>
    <row r="35" spans="1:120">
      <c r="A35" s="34">
        <v>44668</v>
      </c>
      <c r="B35" s="35" t="s">
        <v>52</v>
      </c>
      <c r="C35" s="36" t="s">
        <v>64</v>
      </c>
      <c r="D35" s="38" t="s">
        <v>29</v>
      </c>
      <c r="E35" s="39" t="s">
        <v>23</v>
      </c>
      <c r="F35" s="36"/>
      <c r="G35" s="37"/>
      <c r="H35" s="21">
        <v>0.10972875630071</v>
      </c>
      <c r="I35" s="21">
        <v>4.0654835128986697E-3</v>
      </c>
      <c r="J35">
        <f t="shared" si="7"/>
        <v>4.4610044963141251E-4</v>
      </c>
      <c r="L35" s="36" t="s">
        <v>65</v>
      </c>
      <c r="M35" s="38" t="s">
        <v>29</v>
      </c>
      <c r="N35" s="36" t="s">
        <v>22</v>
      </c>
      <c r="O35" s="36"/>
      <c r="P35" s="37"/>
      <c r="Q35" s="21">
        <v>0.150852672002949</v>
      </c>
      <c r="R35" s="21">
        <v>3.8574247635829598E-3</v>
      </c>
      <c r="S35" s="21">
        <f t="shared" si="8"/>
        <v>5.8190283263683331E-4</v>
      </c>
      <c r="T35" s="21"/>
      <c r="U35" s="36" t="s">
        <v>66</v>
      </c>
      <c r="V35" s="38" t="s">
        <v>29</v>
      </c>
      <c r="W35" s="36" t="s">
        <v>22</v>
      </c>
      <c r="X35" s="36"/>
      <c r="Y35" s="37"/>
      <c r="Z35" s="21">
        <v>0.15004490955399</v>
      </c>
      <c r="AA35" s="21">
        <v>3.4176521516319199E-3</v>
      </c>
      <c r="AB35" s="21">
        <f t="shared" si="9"/>
        <v>5.1280130797861073E-4</v>
      </c>
      <c r="AC35" s="21"/>
      <c r="AD35" s="36" t="s">
        <v>67</v>
      </c>
      <c r="AE35" s="38" t="s">
        <v>29</v>
      </c>
      <c r="AF35" s="36" t="s">
        <v>24</v>
      </c>
      <c r="AG35" s="36"/>
      <c r="AH35" s="37"/>
      <c r="AI35" s="21">
        <v>0.169320433361726</v>
      </c>
      <c r="AJ35" s="21">
        <v>2.09920814527772E-3</v>
      </c>
      <c r="AK35" s="21">
        <f t="shared" si="10"/>
        <v>3.554388328748886E-4</v>
      </c>
      <c r="AL35" s="21"/>
      <c r="AM35" s="36" t="s">
        <v>68</v>
      </c>
      <c r="AN35" s="38" t="s">
        <v>29</v>
      </c>
      <c r="AO35" s="36" t="s">
        <v>24</v>
      </c>
      <c r="AP35" s="36"/>
      <c r="AQ35" s="37"/>
      <c r="AR35" s="21">
        <v>0.170353028844447</v>
      </c>
      <c r="AS35" s="21">
        <v>1.9674635591679802E-3</v>
      </c>
      <c r="AT35">
        <f t="shared" si="11"/>
        <v>3.3516337644534129E-4</v>
      </c>
    </row>
    <row r="36" spans="1:120">
      <c r="A36" s="34"/>
      <c r="B36" s="35"/>
      <c r="C36" s="36"/>
      <c r="D36" s="38"/>
      <c r="E36" s="39"/>
      <c r="F36" s="36"/>
      <c r="G36" s="37"/>
      <c r="H36" s="104"/>
      <c r="I36" s="104"/>
      <c r="J36" s="36"/>
      <c r="L36" s="36"/>
      <c r="M36" s="38"/>
      <c r="N36" s="36"/>
      <c r="O36" s="36"/>
      <c r="P36" s="37"/>
      <c r="Q36" s="21"/>
      <c r="R36" s="21"/>
      <c r="S36" s="21"/>
      <c r="T36" s="21"/>
      <c r="U36" s="36"/>
      <c r="V36" s="38"/>
      <c r="W36" s="36"/>
      <c r="X36" s="36"/>
      <c r="Y36" s="37"/>
      <c r="Z36" s="21"/>
      <c r="AA36" s="21"/>
      <c r="AB36" s="21"/>
      <c r="AC36" s="21"/>
      <c r="AD36" s="36"/>
      <c r="AE36" s="38"/>
      <c r="AF36" s="36"/>
      <c r="AG36" s="36"/>
      <c r="AH36" s="37"/>
      <c r="AI36" s="21"/>
      <c r="AJ36" s="21"/>
      <c r="AK36" s="21"/>
      <c r="AL36" s="21"/>
      <c r="AM36" s="36"/>
      <c r="AN36" s="38"/>
      <c r="AO36" s="36"/>
      <c r="AP36" s="36"/>
      <c r="AQ36" s="37"/>
      <c r="AR36" s="21"/>
      <c r="AS36" s="21"/>
    </row>
    <row r="37" spans="1:120">
      <c r="G37" s="62"/>
      <c r="H37" s="63" t="s">
        <v>96</v>
      </c>
      <c r="I37" s="63" t="s">
        <v>100</v>
      </c>
      <c r="J37" s="1"/>
      <c r="K37" s="1"/>
      <c r="P37" s="62"/>
      <c r="Q37" s="63" t="s">
        <v>96</v>
      </c>
      <c r="R37" s="63" t="s">
        <v>100</v>
      </c>
      <c r="S37" s="1"/>
      <c r="T37" s="1"/>
      <c r="Y37" s="62"/>
      <c r="Z37" s="63" t="s">
        <v>96</v>
      </c>
      <c r="AA37" s="63" t="s">
        <v>100</v>
      </c>
      <c r="AB37" s="1"/>
      <c r="AC37" s="1"/>
      <c r="AH37" s="62"/>
      <c r="AI37" s="63" t="s">
        <v>96</v>
      </c>
      <c r="AJ37" s="63" t="s">
        <v>100</v>
      </c>
      <c r="AK37" s="1"/>
      <c r="AL37" s="1"/>
      <c r="AQ37" s="62"/>
      <c r="AR37" s="63" t="s">
        <v>96</v>
      </c>
      <c r="AS37" s="63" t="s">
        <v>100</v>
      </c>
      <c r="AT37" s="1"/>
    </row>
    <row r="38" spans="1:120">
      <c r="G38" s="63" t="s">
        <v>94</v>
      </c>
      <c r="H38" s="64">
        <f>SUM(H28/I28^2,H30/I30^2,H32/I32^2)/SUM(1/I28^2,1/I30^2,1/I32^2)</f>
        <v>0.10876794281232595</v>
      </c>
      <c r="I38" s="64">
        <f>SQRT(1/SUM(1/I28^2,1/I30^2,1/I32^2))</f>
        <v>4.2582097042318081E-3</v>
      </c>
      <c r="P38" s="63" t="s">
        <v>94</v>
      </c>
      <c r="Q38" s="64">
        <f>SUM(Q28/R28^2,Q30/R30^2,Q32/R32^2)/SUM(1/R28^2,1/R30^2,1/R32^2)</f>
        <v>0.15221698398545702</v>
      </c>
      <c r="R38" s="64">
        <f>SQRT(1/SUM(1/R28^2,1/R30^2,1/R32^2))</f>
        <v>3.5332492503972815E-3</v>
      </c>
      <c r="Y38" s="63" t="s">
        <v>94</v>
      </c>
      <c r="Z38" s="64">
        <f>SUM(Z28/AA28^2,Z30/AA30^2,Z32/AA32^2)/SUM(1/AA28^2,1/AA30^2,1/AA32^2)</f>
        <v>0.15154215995587555</v>
      </c>
      <c r="AA38" s="64">
        <f>SQRT(1/SUM(1/AA28^2,1/AA30^2,1/AA32^2))</f>
        <v>4.1552875538222117E-3</v>
      </c>
      <c r="AH38" s="63" t="s">
        <v>94</v>
      </c>
      <c r="AI38" s="64">
        <f>SUM(AI28/AJ28^2,AI30/AJ30^2,AI32/AJ32^2)/SUM(1/AJ28^2,1/AJ30^2,1/AJ32^2)</f>
        <v>0.17073587149461775</v>
      </c>
      <c r="AJ38" s="64">
        <f>SQRT(1/SUM(1/AJ28^2,1/AJ30^2,1/AJ32^2))</f>
        <v>2.2105314620429759E-3</v>
      </c>
      <c r="AQ38" s="63" t="s">
        <v>94</v>
      </c>
      <c r="AR38" s="64">
        <f>SUM(AR28/AS28^2,AR30/AS30^2,AR32/AS32^2)/SUM(1/AS28^2,1/AS30^2,1/AS32^2)</f>
        <v>0.1698050340398117</v>
      </c>
      <c r="AS38" s="64">
        <f>SQRT(1/SUM(1/AS28^2,1/AS30^2,1/AS32^2))</f>
        <v>1.8821737590729987E-3</v>
      </c>
    </row>
    <row r="39" spans="1:120">
      <c r="G39" s="63" t="s">
        <v>95</v>
      </c>
      <c r="H39" s="64">
        <f>SUM(H27/I27^2,H29/I29^2,H31/I31^2,H33/I33^2,H34/I34^2)/SUM(1/I27^2,1/I29^2,1/I31^2,1/I33^2,1/I34^2)</f>
        <v>0.10838514663135565</v>
      </c>
      <c r="I39" s="64">
        <f>SQRT(1/SUM(1/I27^2,1/I29^2,1/I31^2,1/I33^2,1/I34^2))</f>
        <v>2.3837790254606478E-3</v>
      </c>
      <c r="P39" s="63" t="s">
        <v>95</v>
      </c>
      <c r="Q39" s="64">
        <f>SUM(Q27/R27^2,Q29/R29^2,Q31/R31^2,Q33/R33^2,Q34/R34^2)/SUM(1/R27^2,1/R29^2,1/R31^2,1/R33^2,1/R34^2)</f>
        <v>0.15040467453627065</v>
      </c>
      <c r="R39" s="64">
        <f>SQRT(1/SUM(1/R27^2,1/R29^2,1/R31^2,1/R33^2,1/R34^2))</f>
        <v>2.1833965064391087E-3</v>
      </c>
      <c r="Y39" s="63" t="s">
        <v>95</v>
      </c>
      <c r="Z39" s="64">
        <f>SUM(Z27/AA27^2,Z29/AA29^2,Z31/AA31^2,Z33/AA33^2,Z34/AA34^2)/SUM(1/AA27^2,1/AA29^2,1/AA31^2,1/AA33^2,1/AA34^2)</f>
        <v>0.15040370168149808</v>
      </c>
      <c r="AA39" s="64">
        <f>SQRT(1/SUM(1/AA27^2,1/AA29^2,1/AA31^2,1/AA33^2,1/AA34^2))</f>
        <v>1.7024318308943675E-3</v>
      </c>
      <c r="AH39" s="63" t="s">
        <v>95</v>
      </c>
      <c r="AI39" s="64">
        <f>SUM(AI27/AJ27^2,AI29/AJ29^2,AI31/AJ31^2,AI33/AJ33^2,AI34/AJ34^2)/SUM(1/AJ27^2,1/AJ29^2,1/AJ31^2,1/AJ33^2,1/AJ34^2)</f>
        <v>0.16950359649744268</v>
      </c>
      <c r="AJ39" s="64">
        <f>SQRT(1/SUM(1/AJ27^2,1/AJ29^2,1/AJ31^2,1/AJ33^2,1/AJ34^2))</f>
        <v>1.1820612372760858E-3</v>
      </c>
      <c r="AQ39" s="63" t="s">
        <v>95</v>
      </c>
      <c r="AR39" s="64">
        <f>SUM(AR27/AS27^2,AR29/AS29^2,AR31/AS31^2,AR33/AS33^2,AR34/AS34^2)/SUM(1/AS27^2,1/AS29^2,1/AS31^2,1/AS33^2,1/AS34^2)</f>
        <v>0.16953251349909054</v>
      </c>
      <c r="AS39" s="64">
        <f>SQRT(1/SUM(1/AS27^2,1/AS29^2,1/AS31^2,1/AS33^2,1/AS34^2))</f>
        <v>9.6466649012426505E-4</v>
      </c>
    </row>
    <row r="40" spans="1:120">
      <c r="G40" s="65" t="s">
        <v>97</v>
      </c>
      <c r="H40" s="64">
        <f>H38/H39</f>
        <v>1.0035318140249632</v>
      </c>
      <c r="I40" s="64">
        <f>SQRT(I38^2+I39^2)</f>
        <v>4.880036098989439E-3</v>
      </c>
      <c r="P40" s="65" t="s">
        <v>97</v>
      </c>
      <c r="Q40" s="64">
        <f>Q38/Q39</f>
        <v>1.0120495553397799</v>
      </c>
      <c r="R40" s="64">
        <f>SQRT(R38^2+R39^2)</f>
        <v>4.1534408109137003E-3</v>
      </c>
      <c r="Y40" s="65" t="s">
        <v>97</v>
      </c>
      <c r="Z40" s="64">
        <f>Z38/Z39</f>
        <v>1.0075693501000949</v>
      </c>
      <c r="AA40" s="64">
        <f>SQRT(AA38^2+AA39^2)</f>
        <v>4.4905109724609439E-3</v>
      </c>
      <c r="AH40" s="65" t="s">
        <v>97</v>
      </c>
      <c r="AI40" s="64">
        <f>AI38/AI39</f>
        <v>1.0072699047255536</v>
      </c>
      <c r="AJ40" s="64">
        <f>SQRT(AJ38^2+AJ39^2)</f>
        <v>2.5067345518328277E-3</v>
      </c>
      <c r="AQ40" s="65" t="s">
        <v>97</v>
      </c>
      <c r="AR40" s="64">
        <f>AR38/AR39</f>
        <v>1.0016074824533443</v>
      </c>
      <c r="AS40" s="64">
        <f>SQRT(AS38^2+AS39^2)</f>
        <v>2.1149845144850712E-3</v>
      </c>
    </row>
    <row r="41" spans="1:120">
      <c r="G41" s="65" t="s">
        <v>99</v>
      </c>
      <c r="H41" s="64">
        <f>(H40-1)*1000</f>
        <v>3.5318140249631647</v>
      </c>
      <c r="I41" s="64">
        <f>I40*1000</f>
        <v>4.8800360989894394</v>
      </c>
      <c r="P41" s="65" t="s">
        <v>99</v>
      </c>
      <c r="Q41" s="64">
        <f>(Q40-1)*1000</f>
        <v>12.049555339779916</v>
      </c>
      <c r="R41" s="64">
        <f>R40*1000</f>
        <v>4.1534408109137004</v>
      </c>
      <c r="Y41" s="65" t="s">
        <v>99</v>
      </c>
      <c r="Z41" s="64">
        <f>(Z40-1)*1000</f>
        <v>7.5693501000948515</v>
      </c>
      <c r="AA41" s="64">
        <f>AA40*1000</f>
        <v>4.4905109724609442</v>
      </c>
      <c r="AH41" s="65" t="s">
        <v>99</v>
      </c>
      <c r="AI41" s="64">
        <f>(AI40-1)*1000</f>
        <v>7.2699047255535554</v>
      </c>
      <c r="AJ41" s="64">
        <f>AJ40*1000</f>
        <v>2.5067345518328277</v>
      </c>
      <c r="AQ41" s="65" t="s">
        <v>99</v>
      </c>
      <c r="AR41" s="64">
        <f>(AR40-1)*1000</f>
        <v>1.6074824533443</v>
      </c>
      <c r="AS41" s="64">
        <f>AS40*1000</f>
        <v>2.1149845144850712</v>
      </c>
    </row>
    <row r="42" spans="1:120">
      <c r="G42" s="65" t="s">
        <v>98</v>
      </c>
      <c r="H42" s="64">
        <f>1000*((((F1/1000)+1)*H40)-1)</f>
        <v>-20.352243148830993</v>
      </c>
      <c r="I42" s="64">
        <f>SQRT(I41^2+G1^2)</f>
        <v>4.9045746326710198</v>
      </c>
      <c r="P42" s="65" t="s">
        <v>98</v>
      </c>
      <c r="Q42" s="64">
        <f>1000*((((O1/1000)+1)*Q40)-1)</f>
        <v>-12.644453810510715</v>
      </c>
      <c r="R42" s="64">
        <f>SQRT(R41^2+P1^2)</f>
        <v>4.1910226162314439</v>
      </c>
      <c r="Y42" s="65" t="s">
        <v>98</v>
      </c>
      <c r="Z42" s="64">
        <f>1000*((((Y1/1000)+1)*Z40)-1)</f>
        <v>-16.713071237317468</v>
      </c>
      <c r="AA42" s="64">
        <f>SQRT(AA41^2+Z1^2)</f>
        <v>4.5140102784322647</v>
      </c>
      <c r="AH42" s="65" t="s">
        <v>98</v>
      </c>
      <c r="AI42" s="64">
        <f>1000*((((AH1/1000)+1)*AI40)-1)</f>
        <v>-17.106026968804812</v>
      </c>
      <c r="AJ42" s="64">
        <f>SQRT(AJ41^2+AI1^2)</f>
        <v>2.5416762408600606</v>
      </c>
      <c r="AQ42" s="65" t="s">
        <v>98</v>
      </c>
      <c r="AR42" s="64">
        <f>1000*((((AP1/1000)+1)*AR40)-1)</f>
        <v>-23.633026104479924</v>
      </c>
      <c r="AS42" s="64">
        <f>SQRT(AS41^2+AR1^2)</f>
        <v>2.1149845144850712</v>
      </c>
    </row>
    <row r="44" spans="1:120" ht="29">
      <c r="A44" s="14" t="s">
        <v>47</v>
      </c>
    </row>
    <row r="45" spans="1:120" ht="18" customHeight="1">
      <c r="A45" s="1" t="s">
        <v>18</v>
      </c>
      <c r="B45" s="1" t="s">
        <v>5</v>
      </c>
      <c r="C45" s="2" t="s">
        <v>9</v>
      </c>
      <c r="D45" s="2" t="s">
        <v>27</v>
      </c>
      <c r="E45" s="2" t="s">
        <v>10</v>
      </c>
      <c r="F45" s="2" t="s">
        <v>49</v>
      </c>
      <c r="G45" s="25" t="s">
        <v>51</v>
      </c>
      <c r="H45" s="2" t="s">
        <v>11</v>
      </c>
      <c r="I45" s="2" t="s">
        <v>48</v>
      </c>
      <c r="J45" s="2"/>
      <c r="K45" s="2"/>
      <c r="L45" s="2" t="s">
        <v>9</v>
      </c>
      <c r="M45" s="2" t="s">
        <v>27</v>
      </c>
      <c r="N45" s="2" t="s">
        <v>10</v>
      </c>
      <c r="O45" s="2" t="s">
        <v>49</v>
      </c>
      <c r="P45" s="25" t="s">
        <v>51</v>
      </c>
      <c r="Q45" s="2" t="s">
        <v>11</v>
      </c>
      <c r="R45" s="2" t="s">
        <v>12</v>
      </c>
      <c r="S45" s="2"/>
      <c r="T45" s="2"/>
      <c r="U45" s="2" t="s">
        <v>9</v>
      </c>
      <c r="V45" s="2" t="s">
        <v>27</v>
      </c>
      <c r="W45" s="2" t="s">
        <v>10</v>
      </c>
      <c r="X45" s="2" t="s">
        <v>49</v>
      </c>
      <c r="Y45" s="25" t="s">
        <v>51</v>
      </c>
      <c r="Z45" s="2" t="s">
        <v>11</v>
      </c>
      <c r="AA45" s="2" t="s">
        <v>12</v>
      </c>
      <c r="AB45" s="2"/>
      <c r="AC45" s="2"/>
      <c r="AD45" s="2" t="s">
        <v>9</v>
      </c>
      <c r="AE45" s="2" t="s">
        <v>27</v>
      </c>
      <c r="AF45" s="2" t="s">
        <v>10</v>
      </c>
      <c r="AG45" s="2" t="s">
        <v>49</v>
      </c>
      <c r="AH45" s="25" t="s">
        <v>51</v>
      </c>
      <c r="AI45" s="2" t="s">
        <v>11</v>
      </c>
      <c r="AJ45" s="2" t="s">
        <v>12</v>
      </c>
      <c r="AK45" s="2"/>
      <c r="AL45" s="2"/>
      <c r="AM45" s="2" t="s">
        <v>9</v>
      </c>
      <c r="AN45" s="2" t="s">
        <v>28</v>
      </c>
      <c r="AO45" s="2" t="s">
        <v>10</v>
      </c>
      <c r="AP45" s="2" t="s">
        <v>49</v>
      </c>
      <c r="AQ45" s="25" t="s">
        <v>51</v>
      </c>
      <c r="AR45" s="2" t="s">
        <v>11</v>
      </c>
      <c r="AS45" s="2" t="s">
        <v>12</v>
      </c>
    </row>
    <row r="46" spans="1:120">
      <c r="A46" s="8" t="s">
        <v>19</v>
      </c>
      <c r="B46" s="1"/>
      <c r="C46" s="2"/>
      <c r="D46" s="2"/>
      <c r="E46" s="2"/>
      <c r="F46" s="2"/>
      <c r="G46" s="25"/>
      <c r="H46" s="2"/>
      <c r="I46" s="2"/>
      <c r="J46" s="2"/>
      <c r="K46" s="2"/>
      <c r="L46" s="2"/>
      <c r="M46" s="2"/>
      <c r="N46" s="2"/>
      <c r="O46" s="2"/>
      <c r="P46" s="25"/>
      <c r="Q46" s="2"/>
      <c r="R46" s="2"/>
      <c r="S46" s="2"/>
      <c r="T46" s="2"/>
      <c r="U46" s="2"/>
      <c r="V46" s="2"/>
      <c r="W46" s="2"/>
      <c r="X46" s="2"/>
      <c r="Y46" s="25"/>
      <c r="Z46" s="2"/>
      <c r="AA46" s="2"/>
      <c r="AB46" s="2"/>
      <c r="AC46" s="2"/>
      <c r="AD46" s="2"/>
      <c r="AE46" s="2"/>
      <c r="AF46" s="2"/>
      <c r="AG46" s="2"/>
      <c r="AH46" s="25"/>
      <c r="AI46" s="2"/>
      <c r="AJ46" s="2"/>
      <c r="AK46" s="2"/>
      <c r="AL46" s="2"/>
      <c r="AM46" s="2"/>
      <c r="AO46" s="2"/>
      <c r="AP46" s="2"/>
      <c r="AQ46" s="25"/>
      <c r="AR46" s="2"/>
      <c r="AS46" s="2"/>
    </row>
    <row r="47" spans="1:120" s="5" customFormat="1">
      <c r="A47" s="10" t="s">
        <v>25</v>
      </c>
      <c r="B47" s="10"/>
      <c r="C47" s="11"/>
      <c r="D47" s="11"/>
      <c r="E47" s="11"/>
      <c r="F47" s="11"/>
      <c r="G47" s="26"/>
      <c r="H47" s="11"/>
      <c r="I47" s="11"/>
      <c r="J47" s="2"/>
      <c r="K47" s="2"/>
      <c r="L47" s="11"/>
      <c r="M47" s="11"/>
      <c r="N47" s="11"/>
      <c r="O47" s="11"/>
      <c r="P47" s="26"/>
      <c r="Q47" s="11"/>
      <c r="R47" s="11"/>
      <c r="S47" s="2"/>
      <c r="T47" s="2"/>
      <c r="U47" s="11"/>
      <c r="V47" s="11"/>
      <c r="W47" s="11"/>
      <c r="X47" s="11"/>
      <c r="Y47" s="26"/>
      <c r="Z47" s="11"/>
      <c r="AA47" s="11"/>
      <c r="AB47" s="2"/>
      <c r="AC47" s="2"/>
      <c r="AD47" s="11"/>
      <c r="AE47" s="11"/>
      <c r="AF47" s="11"/>
      <c r="AG47" s="11"/>
      <c r="AH47" s="26"/>
      <c r="AI47" s="11"/>
      <c r="AJ47" s="11"/>
      <c r="AK47" s="2"/>
      <c r="AL47" s="2"/>
      <c r="AM47" s="11"/>
      <c r="AN47" s="11"/>
      <c r="AO47" s="11"/>
      <c r="AP47" s="11"/>
      <c r="AQ47" s="26"/>
      <c r="AR47" s="11"/>
      <c r="AS47" s="11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</row>
    <row r="48" spans="1:120" s="5" customFormat="1">
      <c r="A48" s="4">
        <v>44666</v>
      </c>
      <c r="B48" s="5" t="s">
        <v>1</v>
      </c>
      <c r="C48" s="5" t="s">
        <v>13</v>
      </c>
      <c r="D48" s="5" t="s">
        <v>31</v>
      </c>
      <c r="E48" s="5" t="s">
        <v>21</v>
      </c>
      <c r="F48" s="31" t="s">
        <v>29</v>
      </c>
      <c r="G48" s="31" t="s">
        <v>29</v>
      </c>
      <c r="H48" s="21">
        <v>4.3171445610945599E-3</v>
      </c>
      <c r="I48" s="21">
        <v>3.8329366684585003E-2</v>
      </c>
      <c r="J48"/>
      <c r="K48"/>
      <c r="L48" s="5" t="s">
        <v>14</v>
      </c>
      <c r="M48" s="5" t="s">
        <v>32</v>
      </c>
      <c r="N48" s="5" t="s">
        <v>21</v>
      </c>
      <c r="O48" s="31" t="s">
        <v>29</v>
      </c>
      <c r="P48" s="31" t="s">
        <v>29</v>
      </c>
      <c r="Q48" s="21">
        <v>1.0077265059668701E-2</v>
      </c>
      <c r="R48" s="21">
        <v>1.7295997968623401E-2</v>
      </c>
      <c r="S48" s="21"/>
      <c r="T48" s="21"/>
      <c r="U48" s="5" t="s">
        <v>15</v>
      </c>
      <c r="V48" s="5" t="s">
        <v>33</v>
      </c>
      <c r="W48" s="5" t="s">
        <v>21</v>
      </c>
      <c r="X48" s="31" t="s">
        <v>29</v>
      </c>
      <c r="Y48" s="31" t="s">
        <v>29</v>
      </c>
      <c r="Z48" s="21">
        <v>1.01286251145649E-2</v>
      </c>
      <c r="AA48" s="21">
        <v>9.0998845878605492E-3</v>
      </c>
      <c r="AB48" s="21"/>
      <c r="AC48" s="21"/>
      <c r="AD48" s="5" t="s">
        <v>16</v>
      </c>
      <c r="AE48" s="5" t="s">
        <v>34</v>
      </c>
      <c r="AF48" s="5" t="s">
        <v>21</v>
      </c>
      <c r="AG48" s="31" t="s">
        <v>29</v>
      </c>
      <c r="AH48" s="31" t="s">
        <v>29</v>
      </c>
      <c r="AI48" s="21">
        <v>1.3050039813314001E-2</v>
      </c>
      <c r="AJ48" s="21">
        <v>1.0928721163814799E-2</v>
      </c>
      <c r="AK48" s="21"/>
      <c r="AL48" s="21"/>
      <c r="AM48" s="5" t="s">
        <v>17</v>
      </c>
      <c r="AN48" s="5" t="s">
        <v>35</v>
      </c>
      <c r="AO48" s="5" t="s">
        <v>21</v>
      </c>
      <c r="AP48" s="31" t="s">
        <v>29</v>
      </c>
      <c r="AQ48" s="31" t="s">
        <v>29</v>
      </c>
      <c r="AR48" s="21">
        <v>1.31736202578019E-2</v>
      </c>
      <c r="AS48" s="21">
        <v>1.0717489986075499E-2</v>
      </c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</row>
    <row r="49" spans="1:120" s="5" customFormat="1">
      <c r="A49" s="4">
        <v>44666</v>
      </c>
      <c r="B49" s="10" t="s">
        <v>0</v>
      </c>
      <c r="C49" s="5" t="s">
        <v>13</v>
      </c>
      <c r="D49" s="5" t="s">
        <v>31</v>
      </c>
      <c r="E49" s="5" t="s">
        <v>21</v>
      </c>
      <c r="F49" s="31" t="s">
        <v>29</v>
      </c>
      <c r="G49" s="31" t="s">
        <v>29</v>
      </c>
      <c r="H49" s="21">
        <v>4.4758777544332901E-4</v>
      </c>
      <c r="I49" s="21">
        <v>0.38917452329736701</v>
      </c>
      <c r="J49"/>
      <c r="K49"/>
      <c r="L49" s="5" t="s">
        <v>14</v>
      </c>
      <c r="M49" s="5" t="s">
        <v>32</v>
      </c>
      <c r="N49" s="5" t="s">
        <v>21</v>
      </c>
      <c r="O49" s="31" t="s">
        <v>29</v>
      </c>
      <c r="P49" s="31" t="s">
        <v>29</v>
      </c>
      <c r="Q49" s="21">
        <v>4.9079634742790897E-4</v>
      </c>
      <c r="R49" s="21">
        <v>0.34007531715751199</v>
      </c>
      <c r="S49" s="21"/>
      <c r="T49" s="21"/>
      <c r="U49" s="5" t="s">
        <v>15</v>
      </c>
      <c r="V49" s="5" t="s">
        <v>33</v>
      </c>
      <c r="W49" s="5" t="s">
        <v>21</v>
      </c>
      <c r="X49" s="31" t="s">
        <v>29</v>
      </c>
      <c r="Y49" s="31" t="s">
        <v>29</v>
      </c>
      <c r="Z49" s="21">
        <v>8.1552465720255798E-4</v>
      </c>
      <c r="AA49" s="21">
        <v>0.162597856976925</v>
      </c>
      <c r="AB49" s="21"/>
      <c r="AC49" s="21"/>
      <c r="AD49" s="5" t="s">
        <v>16</v>
      </c>
      <c r="AE49" s="5" t="s">
        <v>34</v>
      </c>
      <c r="AF49" s="5" t="s">
        <v>21</v>
      </c>
      <c r="AG49" s="31" t="s">
        <v>29</v>
      </c>
      <c r="AH49" s="31" t="s">
        <v>29</v>
      </c>
      <c r="AI49" s="21">
        <v>1.2208561544636501E-2</v>
      </c>
      <c r="AJ49" s="21">
        <v>2.9665092025320298E-2</v>
      </c>
      <c r="AK49" s="21"/>
      <c r="AL49" s="21"/>
      <c r="AM49" s="5" t="s">
        <v>17</v>
      </c>
      <c r="AN49" s="5" t="s">
        <v>35</v>
      </c>
      <c r="AO49" s="5" t="s">
        <v>21</v>
      </c>
      <c r="AP49" s="31" t="s">
        <v>29</v>
      </c>
      <c r="AQ49" s="31" t="s">
        <v>29</v>
      </c>
      <c r="AR49" s="21">
        <v>1.2837893291133801E-2</v>
      </c>
      <c r="AS49" s="21">
        <v>1.78425390413255E-2</v>
      </c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</row>
    <row r="50" spans="1:120" s="5" customFormat="1">
      <c r="A50" s="4">
        <v>44666</v>
      </c>
      <c r="B50" s="5" t="s">
        <v>2</v>
      </c>
      <c r="C50" s="5" t="s">
        <v>13</v>
      </c>
      <c r="D50" s="5" t="s">
        <v>31</v>
      </c>
      <c r="E50" s="5" t="s">
        <v>21</v>
      </c>
      <c r="F50" s="31" t="s">
        <v>29</v>
      </c>
      <c r="G50" s="31" t="s">
        <v>29</v>
      </c>
      <c r="H50" s="21">
        <v>3.4491371168539802E-3</v>
      </c>
      <c r="I50" s="21">
        <v>5.57833326567099E-2</v>
      </c>
      <c r="J50"/>
      <c r="K50"/>
      <c r="L50" s="5" t="s">
        <v>14</v>
      </c>
      <c r="M50" s="5" t="s">
        <v>32</v>
      </c>
      <c r="N50" s="5" t="s">
        <v>21</v>
      </c>
      <c r="O50" s="31" t="s">
        <v>29</v>
      </c>
      <c r="P50" s="31" t="s">
        <v>29</v>
      </c>
      <c r="Q50" s="21">
        <v>9.1377869807044692E-3</v>
      </c>
      <c r="R50" s="21">
        <v>2.4929972239914101E-2</v>
      </c>
      <c r="S50" s="21"/>
      <c r="T50" s="21"/>
      <c r="U50" s="5" t="s">
        <v>15</v>
      </c>
      <c r="V50" s="5" t="s">
        <v>33</v>
      </c>
      <c r="W50" s="5" t="s">
        <v>21</v>
      </c>
      <c r="X50" s="31" t="s">
        <v>29</v>
      </c>
      <c r="Y50" s="31" t="s">
        <v>29</v>
      </c>
      <c r="Z50" s="21">
        <v>9.5340016286718007E-3</v>
      </c>
      <c r="AA50" s="21">
        <v>1.7325473193176202E-2</v>
      </c>
      <c r="AB50" s="21"/>
      <c r="AC50" s="21"/>
      <c r="AD50" s="5" t="s">
        <v>16</v>
      </c>
      <c r="AE50" s="5" t="s">
        <v>34</v>
      </c>
      <c r="AF50" s="5" t="s">
        <v>21</v>
      </c>
      <c r="AG50" s="31" t="s">
        <v>29</v>
      </c>
      <c r="AH50" s="31" t="s">
        <v>29</v>
      </c>
      <c r="AI50" s="21">
        <v>1.29210476687606E-2</v>
      </c>
      <c r="AJ50" s="21">
        <v>1.1815551567737601E-2</v>
      </c>
      <c r="AK50" s="21"/>
      <c r="AL50" s="21"/>
      <c r="AM50" s="5" t="s">
        <v>17</v>
      </c>
      <c r="AN50" s="5" t="s">
        <v>35</v>
      </c>
      <c r="AO50" s="5" t="s">
        <v>21</v>
      </c>
      <c r="AP50" s="31" t="s">
        <v>29</v>
      </c>
      <c r="AQ50" s="31" t="s">
        <v>29</v>
      </c>
      <c r="AR50" s="21">
        <v>1.3025076463353101E-2</v>
      </c>
      <c r="AS50" s="21">
        <v>1.0187075162105199E-2</v>
      </c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</row>
    <row r="51" spans="1:120" s="5" customFormat="1">
      <c r="A51" s="10" t="s">
        <v>26</v>
      </c>
      <c r="F51" s="31"/>
      <c r="G51" s="31"/>
      <c r="J51"/>
      <c r="K51"/>
      <c r="O51" s="31"/>
      <c r="P51" s="31"/>
      <c r="S51"/>
      <c r="T51"/>
      <c r="X51" s="31"/>
      <c r="Y51" s="31"/>
      <c r="AB51"/>
      <c r="AC51"/>
      <c r="AG51" s="31"/>
      <c r="AH51" s="31"/>
      <c r="AK51"/>
      <c r="AL51"/>
      <c r="AP51" s="31"/>
      <c r="AQ51" s="3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</row>
    <row r="52" spans="1:120" s="5" customFormat="1">
      <c r="A52" s="4">
        <v>44667</v>
      </c>
      <c r="B52" s="5" t="s">
        <v>4</v>
      </c>
      <c r="C52" s="5" t="s">
        <v>30</v>
      </c>
      <c r="D52" s="5" t="s">
        <v>31</v>
      </c>
      <c r="E52" s="5" t="s">
        <v>21</v>
      </c>
      <c r="F52" s="31" t="s">
        <v>29</v>
      </c>
      <c r="G52" s="31" t="s">
        <v>29</v>
      </c>
      <c r="H52" s="21">
        <v>4.6602772215628601E-3</v>
      </c>
      <c r="I52" s="21">
        <v>3.5937641542705401E-2</v>
      </c>
      <c r="J52"/>
      <c r="K52"/>
      <c r="L52" s="5" t="s">
        <v>14</v>
      </c>
      <c r="M52" s="5" t="s">
        <v>32</v>
      </c>
      <c r="N52" s="5" t="s">
        <v>21</v>
      </c>
      <c r="O52" s="31" t="s">
        <v>29</v>
      </c>
      <c r="P52" s="31" t="s">
        <v>29</v>
      </c>
      <c r="Q52" s="21">
        <v>9.7908227157078899E-3</v>
      </c>
      <c r="R52" s="21">
        <v>1.7172636896774E-2</v>
      </c>
      <c r="S52" s="21"/>
      <c r="T52" s="21"/>
      <c r="U52" s="5" t="s">
        <v>15</v>
      </c>
      <c r="V52" s="5" t="s">
        <v>33</v>
      </c>
      <c r="W52" s="5" t="s">
        <v>21</v>
      </c>
      <c r="X52" s="31" t="s">
        <v>29</v>
      </c>
      <c r="Y52" s="31" t="s">
        <v>29</v>
      </c>
      <c r="Z52" s="21">
        <v>1.01717126067298E-2</v>
      </c>
      <c r="AA52" s="21">
        <v>9.4001892922236496E-3</v>
      </c>
      <c r="AB52" s="21"/>
      <c r="AC52" s="21"/>
      <c r="AD52" s="5" t="s">
        <v>16</v>
      </c>
      <c r="AE52" s="5" t="s">
        <v>34</v>
      </c>
      <c r="AF52" s="5" t="s">
        <v>21</v>
      </c>
      <c r="AG52" s="31" t="s">
        <v>29</v>
      </c>
      <c r="AH52" s="31" t="s">
        <v>29</v>
      </c>
      <c r="AI52" s="21">
        <v>1.27828525366445E-2</v>
      </c>
      <c r="AJ52" s="21">
        <v>1.07605569798434E-2</v>
      </c>
      <c r="AK52" s="21"/>
      <c r="AL52" s="21"/>
      <c r="AM52" s="5" t="s">
        <v>17</v>
      </c>
      <c r="AN52" s="5" t="s">
        <v>35</v>
      </c>
      <c r="AO52" s="5" t="s">
        <v>21</v>
      </c>
      <c r="AP52" s="31" t="s">
        <v>29</v>
      </c>
      <c r="AQ52" s="31" t="s">
        <v>29</v>
      </c>
      <c r="AR52" s="21">
        <v>1.2980442633696101E-2</v>
      </c>
      <c r="AS52" s="21">
        <v>1.02714076936218E-2</v>
      </c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</row>
    <row r="53" spans="1:120" s="5" customFormat="1">
      <c r="A53" s="4">
        <v>44667</v>
      </c>
      <c r="B53" s="5" t="s">
        <v>3</v>
      </c>
      <c r="C53" s="5" t="s">
        <v>30</v>
      </c>
      <c r="D53" s="5" t="s">
        <v>31</v>
      </c>
      <c r="E53" s="5" t="s">
        <v>21</v>
      </c>
      <c r="F53" s="31" t="s">
        <v>29</v>
      </c>
      <c r="G53" s="31" t="s">
        <v>29</v>
      </c>
      <c r="H53" s="21">
        <v>1.70605169894492E-3</v>
      </c>
      <c r="I53" s="21">
        <v>9.5907223485274196E-2</v>
      </c>
      <c r="J53"/>
      <c r="K53"/>
      <c r="L53" s="5" t="s">
        <v>14</v>
      </c>
      <c r="M53" s="5" t="s">
        <v>32</v>
      </c>
      <c r="N53" s="5" t="s">
        <v>21</v>
      </c>
      <c r="O53" s="31" t="s">
        <v>29</v>
      </c>
      <c r="P53" s="31" t="s">
        <v>29</v>
      </c>
      <c r="Q53" s="21">
        <v>1.0228483463556899E-2</v>
      </c>
      <c r="R53" s="21">
        <v>3.1715742666523702E-2</v>
      </c>
      <c r="S53" s="21"/>
      <c r="T53" s="21"/>
      <c r="U53" s="5" t="s">
        <v>15</v>
      </c>
      <c r="V53" s="5" t="s">
        <v>33</v>
      </c>
      <c r="W53" s="5" t="s">
        <v>21</v>
      </c>
      <c r="X53" s="31" t="s">
        <v>29</v>
      </c>
      <c r="Y53" s="31" t="s">
        <v>29</v>
      </c>
      <c r="Z53" s="21">
        <v>8.5088323363791806E-3</v>
      </c>
      <c r="AA53" s="21">
        <v>2.1230791957623198E-2</v>
      </c>
      <c r="AB53" s="21"/>
      <c r="AC53" s="21"/>
      <c r="AD53" s="5" t="s">
        <v>16</v>
      </c>
      <c r="AE53" s="5" t="s">
        <v>34</v>
      </c>
      <c r="AF53" s="5" t="s">
        <v>21</v>
      </c>
      <c r="AG53" s="31" t="s">
        <v>29</v>
      </c>
      <c r="AH53" s="31" t="s">
        <v>29</v>
      </c>
      <c r="AI53" s="21">
        <v>1.2866468232211299E-2</v>
      </c>
      <c r="AJ53" s="21">
        <v>1.1851981919739E-2</v>
      </c>
      <c r="AK53" s="21"/>
      <c r="AL53" s="21"/>
      <c r="AM53" s="5" t="s">
        <v>17</v>
      </c>
      <c r="AN53" s="5" t="s">
        <v>35</v>
      </c>
      <c r="AO53" s="5" t="s">
        <v>21</v>
      </c>
      <c r="AP53" s="31" t="s">
        <v>29</v>
      </c>
      <c r="AQ53" s="31" t="s">
        <v>29</v>
      </c>
      <c r="AR53" s="21">
        <v>1.3440642350663201E-2</v>
      </c>
      <c r="AS53" s="21">
        <v>9.5660209332711806E-3</v>
      </c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</row>
    <row r="54" spans="1:120">
      <c r="A54" s="3"/>
      <c r="F54" s="32"/>
      <c r="G54" s="32"/>
      <c r="O54" s="32"/>
      <c r="P54" s="32"/>
      <c r="X54" s="32"/>
      <c r="Y54" s="32"/>
      <c r="AG54" s="32"/>
      <c r="AH54" s="32"/>
      <c r="AP54" s="32"/>
      <c r="AQ54" s="32"/>
    </row>
    <row r="55" spans="1:120">
      <c r="A55" s="9" t="s">
        <v>20</v>
      </c>
      <c r="F55" s="32"/>
      <c r="G55" s="32"/>
      <c r="O55" s="32"/>
      <c r="P55" s="32"/>
      <c r="X55" s="32"/>
      <c r="Y55" s="32"/>
      <c r="AG55" s="32"/>
      <c r="AH55" s="32"/>
      <c r="AP55" s="32"/>
      <c r="AQ55" s="32"/>
    </row>
    <row r="56" spans="1:120" s="7" customFormat="1">
      <c r="A56" s="6">
        <v>44667</v>
      </c>
      <c r="B56" s="7" t="s">
        <v>6</v>
      </c>
      <c r="C56" s="7" t="s">
        <v>36</v>
      </c>
      <c r="D56" s="12" t="s">
        <v>29</v>
      </c>
      <c r="E56" s="7" t="s">
        <v>23</v>
      </c>
      <c r="F56" s="12" t="s">
        <v>29</v>
      </c>
      <c r="G56" s="12" t="s">
        <v>29</v>
      </c>
      <c r="H56" s="21">
        <v>5.1325945055104997E-3</v>
      </c>
      <c r="I56" s="21">
        <v>2.5018259823444501E-2</v>
      </c>
      <c r="J56"/>
      <c r="K56"/>
      <c r="L56" s="7" t="s">
        <v>37</v>
      </c>
      <c r="M56" s="12" t="s">
        <v>29</v>
      </c>
      <c r="N56" s="7" t="s">
        <v>22</v>
      </c>
      <c r="O56" s="12" t="s">
        <v>29</v>
      </c>
      <c r="P56" s="12" t="s">
        <v>29</v>
      </c>
      <c r="Q56" s="21">
        <v>9.6755646312312506E-3</v>
      </c>
      <c r="R56" s="21">
        <v>2.12301598412938E-2</v>
      </c>
      <c r="S56" s="21"/>
      <c r="T56" s="21"/>
      <c r="U56" s="7" t="s">
        <v>38</v>
      </c>
      <c r="V56" s="12" t="s">
        <v>29</v>
      </c>
      <c r="W56" s="7" t="s">
        <v>22</v>
      </c>
      <c r="X56" s="12" t="s">
        <v>29</v>
      </c>
      <c r="Y56" s="12" t="s">
        <v>29</v>
      </c>
      <c r="Z56" s="21">
        <v>9.2843300060589003E-3</v>
      </c>
      <c r="AA56" s="21">
        <v>1.7058798531357101E-2</v>
      </c>
      <c r="AB56" s="21"/>
      <c r="AC56" s="21"/>
      <c r="AD56" s="7" t="s">
        <v>39</v>
      </c>
      <c r="AE56" s="12" t="s">
        <v>29</v>
      </c>
      <c r="AF56" s="7" t="s">
        <v>21</v>
      </c>
      <c r="AG56" s="12" t="s">
        <v>29</v>
      </c>
      <c r="AH56" s="12" t="s">
        <v>29</v>
      </c>
      <c r="AI56" s="21">
        <v>1.27451977724175E-2</v>
      </c>
      <c r="AJ56" s="21">
        <v>1.09805001063188E-2</v>
      </c>
      <c r="AK56" s="21"/>
      <c r="AL56" s="21"/>
      <c r="AM56" s="7" t="s">
        <v>40</v>
      </c>
      <c r="AN56" s="12" t="s">
        <v>29</v>
      </c>
      <c r="AO56" s="7" t="s">
        <v>21</v>
      </c>
      <c r="AP56" s="12" t="s">
        <v>29</v>
      </c>
      <c r="AQ56" s="12" t="s">
        <v>29</v>
      </c>
      <c r="AR56" s="21">
        <v>1.26394995872109E-2</v>
      </c>
      <c r="AS56" s="21">
        <v>6.9177033667174896E-3</v>
      </c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</row>
    <row r="57" spans="1:120" s="7" customFormat="1">
      <c r="A57" s="6">
        <v>44667</v>
      </c>
      <c r="B57" s="70" t="s">
        <v>7</v>
      </c>
      <c r="C57" s="7" t="s">
        <v>36</v>
      </c>
      <c r="D57" s="12" t="s">
        <v>29</v>
      </c>
      <c r="E57" s="7" t="s">
        <v>22</v>
      </c>
      <c r="F57" s="12" t="s">
        <v>29</v>
      </c>
      <c r="G57" s="12" t="s">
        <v>29</v>
      </c>
      <c r="H57" s="21">
        <v>3.7973876056319601E-3</v>
      </c>
      <c r="I57" s="21">
        <v>3.8784607224700202E-2</v>
      </c>
      <c r="J57"/>
      <c r="K57"/>
      <c r="L57" s="7" t="s">
        <v>37</v>
      </c>
      <c r="M57" s="12" t="s">
        <v>29</v>
      </c>
      <c r="N57" s="7" t="s">
        <v>22</v>
      </c>
      <c r="O57" s="12" t="s">
        <v>29</v>
      </c>
      <c r="P57" s="12" t="s">
        <v>29</v>
      </c>
      <c r="Q57" s="21">
        <v>1.0046109272974099E-2</v>
      </c>
      <c r="R57" s="21">
        <v>1.6974447511621499E-2</v>
      </c>
      <c r="S57" s="21"/>
      <c r="T57" s="21"/>
      <c r="U57" s="7" t="s">
        <v>38</v>
      </c>
      <c r="V57" s="12" t="s">
        <v>29</v>
      </c>
      <c r="W57" s="7" t="s">
        <v>22</v>
      </c>
      <c r="X57" s="12" t="s">
        <v>29</v>
      </c>
      <c r="Y57" s="12" t="s">
        <v>29</v>
      </c>
      <c r="Z57" s="21">
        <v>1.0328288567804701E-2</v>
      </c>
      <c r="AA57" s="21">
        <v>1.7351942216342099E-2</v>
      </c>
      <c r="AB57" s="21"/>
      <c r="AC57" s="21"/>
      <c r="AD57" s="7" t="s">
        <v>39</v>
      </c>
      <c r="AE57" s="12" t="s">
        <v>29</v>
      </c>
      <c r="AF57" s="7" t="s">
        <v>24</v>
      </c>
      <c r="AG57" s="12" t="s">
        <v>29</v>
      </c>
      <c r="AH57" s="12" t="s">
        <v>29</v>
      </c>
      <c r="AI57" s="21">
        <v>1.32534408808491E-2</v>
      </c>
      <c r="AJ57" s="21">
        <v>1.0088752256041399E-2</v>
      </c>
      <c r="AK57" s="21"/>
      <c r="AL57" s="21"/>
      <c r="AM57" s="7" t="s">
        <v>40</v>
      </c>
      <c r="AN57" s="12" t="s">
        <v>29</v>
      </c>
      <c r="AO57" s="7" t="s">
        <v>24</v>
      </c>
      <c r="AP57" s="12" t="s">
        <v>29</v>
      </c>
      <c r="AQ57" s="12" t="s">
        <v>29</v>
      </c>
      <c r="AR57" s="21">
        <v>1.2808129251390099E-2</v>
      </c>
      <c r="AS57" s="21">
        <v>1.0284036743749199E-2</v>
      </c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</row>
    <row r="58" spans="1:120" s="7" customFormat="1">
      <c r="A58" s="6">
        <v>44667</v>
      </c>
      <c r="B58" s="7" t="s">
        <v>8</v>
      </c>
      <c r="C58" s="7" t="s">
        <v>36</v>
      </c>
      <c r="D58" s="12" t="s">
        <v>29</v>
      </c>
      <c r="E58" s="7" t="s">
        <v>22</v>
      </c>
      <c r="F58" s="12" t="s">
        <v>29</v>
      </c>
      <c r="G58" s="12" t="s">
        <v>29</v>
      </c>
      <c r="H58" s="21">
        <v>4.5392387391668901E-3</v>
      </c>
      <c r="I58" s="21">
        <v>2.3902601901748501E-2</v>
      </c>
      <c r="J58"/>
      <c r="K58"/>
      <c r="L58" s="7" t="s">
        <v>37</v>
      </c>
      <c r="M58" s="12" t="s">
        <v>29</v>
      </c>
      <c r="N58" s="7" t="s">
        <v>22</v>
      </c>
      <c r="O58" s="12" t="s">
        <v>29</v>
      </c>
      <c r="P58" s="12" t="s">
        <v>29</v>
      </c>
      <c r="Q58" s="21">
        <v>1.01684196989155E-2</v>
      </c>
      <c r="R58" s="21">
        <v>2.06362036199218E-2</v>
      </c>
      <c r="S58" s="21"/>
      <c r="T58" s="21"/>
      <c r="U58" s="7" t="s">
        <v>38</v>
      </c>
      <c r="V58" s="12" t="s">
        <v>29</v>
      </c>
      <c r="W58" s="7" t="s">
        <v>22</v>
      </c>
      <c r="X58" s="12" t="s">
        <v>29</v>
      </c>
      <c r="Y58" s="12" t="s">
        <v>29</v>
      </c>
      <c r="Z58" s="21">
        <v>9.6287512304613094E-3</v>
      </c>
      <c r="AA58" s="21">
        <v>1.3714540931614E-2</v>
      </c>
      <c r="AB58" s="21"/>
      <c r="AC58" s="21"/>
      <c r="AD58" s="7" t="s">
        <v>39</v>
      </c>
      <c r="AE58" s="12" t="s">
        <v>29</v>
      </c>
      <c r="AF58" s="7" t="s">
        <v>24</v>
      </c>
      <c r="AG58" s="12" t="s">
        <v>29</v>
      </c>
      <c r="AH58" s="12" t="s">
        <v>29</v>
      </c>
      <c r="AI58" s="21">
        <v>1.27297893374301E-2</v>
      </c>
      <c r="AJ58" s="21">
        <v>7.9067926868626303E-3</v>
      </c>
      <c r="AK58" s="21"/>
      <c r="AL58" s="21"/>
      <c r="AM58" s="7" t="s">
        <v>40</v>
      </c>
      <c r="AN58" s="12" t="s">
        <v>29</v>
      </c>
      <c r="AO58" s="7" t="s">
        <v>24</v>
      </c>
      <c r="AP58" s="12" t="s">
        <v>29</v>
      </c>
      <c r="AQ58" s="12" t="s">
        <v>29</v>
      </c>
      <c r="AR58" s="21">
        <v>1.2519838541036299E-2</v>
      </c>
      <c r="AS58" s="21">
        <v>6.5611314087363499E-3</v>
      </c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</row>
    <row r="59" spans="1:120">
      <c r="G59" s="62"/>
      <c r="H59" s="63" t="s">
        <v>96</v>
      </c>
      <c r="I59" s="63" t="s">
        <v>100</v>
      </c>
      <c r="P59" s="62"/>
      <c r="Q59" s="63" t="s">
        <v>96</v>
      </c>
      <c r="R59" s="63" t="s">
        <v>100</v>
      </c>
      <c r="Y59" s="62"/>
      <c r="Z59" s="63" t="s">
        <v>96</v>
      </c>
      <c r="AA59" s="63" t="s">
        <v>100</v>
      </c>
      <c r="AH59" s="62"/>
      <c r="AI59" s="63" t="s">
        <v>96</v>
      </c>
      <c r="AJ59" s="63" t="s">
        <v>100</v>
      </c>
      <c r="AQ59" s="62"/>
      <c r="AR59" s="63" t="s">
        <v>96</v>
      </c>
      <c r="AS59" s="63" t="s">
        <v>100</v>
      </c>
    </row>
    <row r="60" spans="1:120">
      <c r="A60" t="s">
        <v>105</v>
      </c>
      <c r="G60" s="63" t="s">
        <v>94</v>
      </c>
      <c r="H60" s="67">
        <f>SUM(H49/I49^2,H57/I57^2)/SUM(1/I49^2,1/I57^2)</f>
        <v>3.7644450885184325E-3</v>
      </c>
      <c r="I60" s="67">
        <f>SQRT(1/SUM(1/I49^2,1/I57^2))</f>
        <v>3.8593428739033549E-2</v>
      </c>
      <c r="P60" s="63" t="s">
        <v>94</v>
      </c>
      <c r="Q60" s="67">
        <f>SUM(Q49/R49^2,Q57/R57^2)/SUM(1/R49^2,1/R57^2)</f>
        <v>1.0022362459752502E-2</v>
      </c>
      <c r="R60" s="67">
        <f>SQRT(1/SUM(1/R49^2,1/R57^2))</f>
        <v>1.6953341986972296E-2</v>
      </c>
      <c r="Y60" s="63" t="s">
        <v>94</v>
      </c>
      <c r="Z60" s="67">
        <f>SUM(Z49/AA49^2,Z57/AA57^2)/SUM(1/AA49^2,1/AA57^2)</f>
        <v>1.0221172343037146E-2</v>
      </c>
      <c r="AA60" s="67">
        <f>SQRT(1/SUM(1/AA49^2,1/AA57^2))</f>
        <v>1.7253971925127159E-2</v>
      </c>
      <c r="AH60" s="63" t="s">
        <v>94</v>
      </c>
      <c r="AI60" s="67">
        <f>SUM(AI49/AJ49^2,AI57/AJ57^2)/SUM(1/AJ49^2,1/AJ57^2)</f>
        <v>1.3145118609186856E-2</v>
      </c>
      <c r="AJ60" s="67">
        <f>SQRT(1/SUM(1/AJ49^2,1/AJ57^2))</f>
        <v>9.5514984430743362E-3</v>
      </c>
      <c r="AQ60" s="63" t="s">
        <v>94</v>
      </c>
      <c r="AR60" s="67">
        <f>SUM(AR49/AS49^2,AR57/AS57^2)/SUM(1/AS49^2,1/AS57^2)</f>
        <v>1.2815551454051676E-2</v>
      </c>
      <c r="AS60" s="67">
        <f>SQRT(1/SUM(1/AS49^2,1/AS57^2))</f>
        <v>8.9099880603007199E-3</v>
      </c>
    </row>
    <row r="61" spans="1:120">
      <c r="G61" s="63" t="s">
        <v>95</v>
      </c>
      <c r="H61" s="67">
        <f>SUM(H48/I48^2,H50/I50^2,H52/I52^2,H53/I53^2,H56/I56^2,H58/I58^2)/SUM(1/I48^2,1/I50^2,1/I52^2,1/I53^2,1/I56^2,1/I58^2)</f>
        <v>4.5836109873577269E-3</v>
      </c>
      <c r="I61" s="67">
        <f>SQRT(1/SUM(1/I48^2,1/I50^2,1/I52^2,1/I53^2,1/I56^2,1/I58^2))</f>
        <v>1.3823729826160484E-2</v>
      </c>
      <c r="P61" s="63" t="s">
        <v>95</v>
      </c>
      <c r="Q61" s="67">
        <f>SUM(Q48/R48^2,Q50/R50^2,Q52/R52^2,Q53/R53^2,Q56/R56^2,Q58/R58^2)/SUM(1/R48^2,1/R50^2,1/R52^2,1/R53^2,1/R56^2,1/R58^2)</f>
        <v>9.8607921855325738E-3</v>
      </c>
      <c r="R61" s="67">
        <f>SQRT(1/SUM(1/R48^2,1/R50^2,1/R52^2,1/R53^2,1/R56^2,1/R58^2))</f>
        <v>8.4807229286940553E-3</v>
      </c>
      <c r="Y61" s="63" t="s">
        <v>95</v>
      </c>
      <c r="Z61" s="67">
        <f>SUM(Z48/AA48^2,Z50/AA50^2,Z52/AA52^2,Z53/AA53^2,Z56/AA56^2,Z58/AA58^2)/SUM(1/AA48^2,1/AA50^2,1/AA52^2,1/AA53^2,1/AA56^2,1/AA58^2)</f>
        <v>9.8462110932273795E-3</v>
      </c>
      <c r="AA61" s="67">
        <f>SQRT(1/SUM(1/AA48^2,1/AA50^2,1/AA52^2,1/AA53^2,1/AA56^2,1/AA58^2))</f>
        <v>5.1505333919417123E-3</v>
      </c>
      <c r="AH61" s="63" t="s">
        <v>95</v>
      </c>
      <c r="AI61" s="67">
        <f>SUM(AI48/AJ48^2,AI50/AJ50^2,AI52/AJ52^2,AI53/AJ53^2,AI56/AJ56^2,AI58/AJ58^2)/SUM(1/AJ48^2,1/AJ50^2,1/AJ52^2,1/AJ53^2,1/AJ56^2,1/AJ58^2)</f>
        <v>1.2830731421147058E-2</v>
      </c>
      <c r="AJ61" s="67">
        <f>SQRT(1/SUM(1/AJ48^2,1/AJ50^2,1/AJ52^2,1/AJ53^2,1/AJ56^2,1/AJ58^2))</f>
        <v>4.2416959404858335E-3</v>
      </c>
      <c r="AQ61" s="63" t="s">
        <v>95</v>
      </c>
      <c r="AR61" s="67">
        <f>SUM(AR48/AS48^2,AR50/AS50^2,AR52/AS52^2,AR53/AS53^2,AR56/AS56^2,AR58/AS58^2)/SUM(1/AS48^2,1/AS50^2,1/AS52^2,1/AS53^2,1/AS56^2,1/AS58^2)</f>
        <v>1.2851533287675342E-2</v>
      </c>
      <c r="AS61" s="67">
        <f>SQRT(1/SUM(1/AS48^2,1/AS50^2,1/AS52^2,1/AS53^2,1/AS56^2,1/AS58^2))</f>
        <v>3.4736739018233023E-3</v>
      </c>
    </row>
    <row r="62" spans="1:120">
      <c r="G62" s="65" t="s">
        <v>97</v>
      </c>
      <c r="H62" s="67">
        <f>H60/H61</f>
        <v>0.82128372126284832</v>
      </c>
      <c r="I62" s="67">
        <f>SQRT(I60^2+I61^2)</f>
        <v>4.0994490460811189E-2</v>
      </c>
      <c r="P62" s="65" t="s">
        <v>97</v>
      </c>
      <c r="Q62" s="67">
        <f>Q60/Q61</f>
        <v>1.016385121111971</v>
      </c>
      <c r="R62" s="67">
        <f>SQRT(R60^2+R61^2)</f>
        <v>1.895622499129283E-2</v>
      </c>
      <c r="Y62" s="65" t="s">
        <v>97</v>
      </c>
      <c r="Z62" s="67">
        <f>Z60/Z61</f>
        <v>1.0380817805203952</v>
      </c>
      <c r="AA62" s="67">
        <f>SQRT(AA60^2+AA61^2)</f>
        <v>1.8006319485519041E-2</v>
      </c>
      <c r="AH62" s="65" t="s">
        <v>97</v>
      </c>
      <c r="AI62" s="67">
        <f>AI60/AI61</f>
        <v>1.0245026707925349</v>
      </c>
      <c r="AJ62" s="67">
        <f>SQRT(AJ60^2+AJ61^2)</f>
        <v>1.0450985932417356E-2</v>
      </c>
      <c r="AQ62" s="65" t="s">
        <v>97</v>
      </c>
      <c r="AR62" s="67">
        <f>AR60/AR61</f>
        <v>0.9972001913843096</v>
      </c>
      <c r="AS62" s="67">
        <f>SQRT(AS60^2+AS61^2)</f>
        <v>9.56317403433137E-3</v>
      </c>
    </row>
    <row r="63" spans="1:120">
      <c r="G63" s="65" t="s">
        <v>99</v>
      </c>
      <c r="H63" s="67">
        <f>1000*(H62-1)</f>
        <v>-178.71627873715167</v>
      </c>
      <c r="I63" s="67">
        <f>I62*1000</f>
        <v>40.994490460811193</v>
      </c>
      <c r="P63" s="65" t="s">
        <v>99</v>
      </c>
      <c r="Q63" s="67">
        <f>1000*(Q62-1)</f>
        <v>16.385121111970989</v>
      </c>
      <c r="R63" s="67">
        <f>R62*1000</f>
        <v>18.956224991292828</v>
      </c>
      <c r="Y63" s="65" t="s">
        <v>99</v>
      </c>
      <c r="Z63" s="67">
        <f>1000*(Z62-1)</f>
        <v>38.081780520395235</v>
      </c>
      <c r="AA63" s="67">
        <f>AA62*1000</f>
        <v>18.006319485519043</v>
      </c>
      <c r="AH63" s="65" t="s">
        <v>99</v>
      </c>
      <c r="AI63" s="67">
        <f>1000*(AI62-1)</f>
        <v>24.502670792534875</v>
      </c>
      <c r="AJ63" s="67">
        <f>AJ62*1000</f>
        <v>10.450985932417357</v>
      </c>
      <c r="AQ63" s="65" t="s">
        <v>99</v>
      </c>
      <c r="AR63" s="67">
        <f>1000*(AR62-1)</f>
        <v>-2.7998086156904023</v>
      </c>
      <c r="AS63" s="67">
        <f>AS62*1000</f>
        <v>9.5631740343313698</v>
      </c>
    </row>
    <row r="64" spans="1:120">
      <c r="G64" s="66"/>
      <c r="P64" s="66"/>
      <c r="Y64" s="66"/>
      <c r="AH64" s="66"/>
      <c r="AQ64" s="66"/>
    </row>
    <row r="67" spans="1:46" ht="31">
      <c r="A67" s="33" t="s">
        <v>62</v>
      </c>
    </row>
    <row r="68" spans="1:46">
      <c r="A68" s="34">
        <v>44668</v>
      </c>
      <c r="B68" s="35" t="s">
        <v>54</v>
      </c>
      <c r="C68" s="36" t="s">
        <v>64</v>
      </c>
      <c r="D68" s="38" t="s">
        <v>29</v>
      </c>
      <c r="E68" s="36" t="s">
        <v>22</v>
      </c>
      <c r="F68" s="38" t="s">
        <v>29</v>
      </c>
      <c r="G68" s="38" t="s">
        <v>29</v>
      </c>
      <c r="H68" s="21">
        <v>4.7368568442720301E-3</v>
      </c>
      <c r="I68" s="21">
        <v>3.65253918169645E-2</v>
      </c>
      <c r="L68" s="36" t="s">
        <v>65</v>
      </c>
      <c r="M68" s="38" t="s">
        <v>29</v>
      </c>
      <c r="N68" s="36" t="s">
        <v>22</v>
      </c>
      <c r="O68" s="38" t="s">
        <v>29</v>
      </c>
      <c r="P68" s="38" t="s">
        <v>29</v>
      </c>
      <c r="Q68" s="21">
        <v>9.5262277533772807E-3</v>
      </c>
      <c r="R68" s="21">
        <v>1.7224609466549301E-2</v>
      </c>
      <c r="S68" s="21"/>
      <c r="T68" s="21"/>
      <c r="U68" s="36" t="s">
        <v>66</v>
      </c>
      <c r="V68" s="38" t="s">
        <v>29</v>
      </c>
      <c r="W68" s="36" t="s">
        <v>22</v>
      </c>
      <c r="X68" s="38" t="s">
        <v>29</v>
      </c>
      <c r="Y68" s="38" t="s">
        <v>29</v>
      </c>
      <c r="Z68" s="21">
        <v>9.6177382846917795E-3</v>
      </c>
      <c r="AA68" s="21">
        <v>1.2114104591110101E-2</v>
      </c>
      <c r="AB68" s="21"/>
      <c r="AC68" s="21"/>
      <c r="AD68" s="36" t="s">
        <v>67</v>
      </c>
      <c r="AE68" s="38" t="s">
        <v>29</v>
      </c>
      <c r="AF68" s="36" t="s">
        <v>24</v>
      </c>
      <c r="AG68" s="38" t="s">
        <v>29</v>
      </c>
      <c r="AH68" s="38" t="s">
        <v>29</v>
      </c>
      <c r="AI68" s="21">
        <v>1.2773035674506199E-2</v>
      </c>
      <c r="AJ68" s="21">
        <v>6.3034967995064901E-3</v>
      </c>
      <c r="AK68" s="21"/>
      <c r="AL68" s="21"/>
      <c r="AM68" s="36" t="s">
        <v>68</v>
      </c>
      <c r="AN68" s="38" t="s">
        <v>29</v>
      </c>
      <c r="AO68" s="36" t="s">
        <v>24</v>
      </c>
      <c r="AP68" s="38" t="s">
        <v>29</v>
      </c>
      <c r="AQ68" s="38" t="s">
        <v>29</v>
      </c>
      <c r="AR68" s="21">
        <v>1.26112891412018E-2</v>
      </c>
      <c r="AS68" s="21">
        <v>6.8005320239244299E-3</v>
      </c>
    </row>
    <row r="69" spans="1:46">
      <c r="A69" s="34">
        <v>44668</v>
      </c>
      <c r="B69" s="35" t="s">
        <v>57</v>
      </c>
      <c r="C69" s="36" t="s">
        <v>64</v>
      </c>
      <c r="D69" s="38" t="s">
        <v>29</v>
      </c>
      <c r="E69" s="36" t="s">
        <v>22</v>
      </c>
      <c r="F69" s="38" t="s">
        <v>29</v>
      </c>
      <c r="G69" s="38" t="s">
        <v>29</v>
      </c>
      <c r="H69" s="21">
        <v>4.7422889473136302E-3</v>
      </c>
      <c r="I69" s="21">
        <v>2.4319320939491601E-2</v>
      </c>
      <c r="L69" s="36" t="s">
        <v>65</v>
      </c>
      <c r="M69" s="38" t="s">
        <v>29</v>
      </c>
      <c r="N69" s="36" t="s">
        <v>22</v>
      </c>
      <c r="O69" s="38" t="s">
        <v>29</v>
      </c>
      <c r="P69" s="38" t="s">
        <v>29</v>
      </c>
      <c r="Q69" s="21">
        <v>9.8275164224436405E-3</v>
      </c>
      <c r="R69" s="21">
        <v>1.6933786869010401E-2</v>
      </c>
      <c r="S69" s="21"/>
      <c r="T69" s="21"/>
      <c r="U69" s="36" t="s">
        <v>66</v>
      </c>
      <c r="V69" s="38" t="s">
        <v>29</v>
      </c>
      <c r="W69" s="36" t="s">
        <v>22</v>
      </c>
      <c r="X69" s="38" t="s">
        <v>29</v>
      </c>
      <c r="Y69" s="38" t="s">
        <v>29</v>
      </c>
      <c r="Z69" s="21">
        <v>9.3930737049317294E-3</v>
      </c>
      <c r="AA69" s="21">
        <v>1.42922531201403E-2</v>
      </c>
      <c r="AB69" s="21"/>
      <c r="AC69" s="21"/>
      <c r="AD69" s="36" t="s">
        <v>67</v>
      </c>
      <c r="AE69" s="38" t="s">
        <v>29</v>
      </c>
      <c r="AF69" s="36" t="s">
        <v>24</v>
      </c>
      <c r="AG69" s="38" t="s">
        <v>29</v>
      </c>
      <c r="AH69" s="38" t="s">
        <v>29</v>
      </c>
      <c r="AI69" s="21">
        <v>1.2708307183957599E-2</v>
      </c>
      <c r="AJ69" s="21">
        <v>8.6279164881240596E-3</v>
      </c>
      <c r="AK69" s="21"/>
      <c r="AL69" s="21"/>
      <c r="AM69" s="36" t="s">
        <v>68</v>
      </c>
      <c r="AN69" s="38" t="s">
        <v>29</v>
      </c>
      <c r="AO69" s="36" t="s">
        <v>24</v>
      </c>
      <c r="AP69" s="38" t="s">
        <v>29</v>
      </c>
      <c r="AQ69" s="38" t="s">
        <v>29</v>
      </c>
      <c r="AR69" s="21">
        <v>1.24794931690849E-2</v>
      </c>
      <c r="AS69" s="21">
        <v>6.9948338324795903E-3</v>
      </c>
    </row>
    <row r="70" spans="1:46">
      <c r="A70" s="34">
        <v>44668</v>
      </c>
      <c r="B70" s="69" t="s">
        <v>53</v>
      </c>
      <c r="C70" s="36" t="s">
        <v>64</v>
      </c>
      <c r="D70" s="38" t="s">
        <v>29</v>
      </c>
      <c r="E70" s="36" t="s">
        <v>22</v>
      </c>
      <c r="F70" s="38" t="s">
        <v>29</v>
      </c>
      <c r="G70" s="38" t="s">
        <v>29</v>
      </c>
      <c r="H70" s="21">
        <v>4.7080843007581497E-3</v>
      </c>
      <c r="I70" s="21">
        <v>3.4256515207342603E-2</v>
      </c>
      <c r="L70" s="36" t="s">
        <v>65</v>
      </c>
      <c r="M70" s="38" t="s">
        <v>29</v>
      </c>
      <c r="N70" s="36" t="s">
        <v>22</v>
      </c>
      <c r="O70" s="38" t="s">
        <v>29</v>
      </c>
      <c r="P70" s="38" t="s">
        <v>29</v>
      </c>
      <c r="Q70" s="21">
        <v>1.01172458650064E-2</v>
      </c>
      <c r="R70" s="21">
        <v>2.8141072233894799E-2</v>
      </c>
      <c r="S70" s="21"/>
      <c r="T70" s="21"/>
      <c r="U70" s="36" t="s">
        <v>66</v>
      </c>
      <c r="V70" s="38" t="s">
        <v>29</v>
      </c>
      <c r="W70" s="36" t="s">
        <v>22</v>
      </c>
      <c r="X70" s="38" t="s">
        <v>29</v>
      </c>
      <c r="Y70" s="38" t="s">
        <v>29</v>
      </c>
      <c r="Z70" s="21">
        <v>9.9712230893326207E-3</v>
      </c>
      <c r="AA70" s="21">
        <v>3.1043073073344401E-2</v>
      </c>
      <c r="AB70" s="21"/>
      <c r="AC70" s="21"/>
      <c r="AD70" s="36" t="s">
        <v>67</v>
      </c>
      <c r="AE70" s="38" t="s">
        <v>29</v>
      </c>
      <c r="AF70" s="36" t="s">
        <v>24</v>
      </c>
      <c r="AG70" s="38" t="s">
        <v>29</v>
      </c>
      <c r="AH70" s="38" t="s">
        <v>29</v>
      </c>
      <c r="AI70" s="21">
        <v>1.2830769363738901E-2</v>
      </c>
      <c r="AJ70" s="21">
        <v>1.6705912587308702E-2</v>
      </c>
      <c r="AK70" s="21"/>
      <c r="AL70" s="21"/>
      <c r="AM70" s="36" t="s">
        <v>68</v>
      </c>
      <c r="AN70" s="38" t="s">
        <v>29</v>
      </c>
      <c r="AO70" s="36" t="s">
        <v>24</v>
      </c>
      <c r="AP70" s="38" t="s">
        <v>29</v>
      </c>
      <c r="AQ70" s="38" t="s">
        <v>29</v>
      </c>
      <c r="AR70" s="21">
        <v>1.283107397878E-2</v>
      </c>
      <c r="AS70" s="21">
        <v>1.18122716924114E-2</v>
      </c>
    </row>
    <row r="71" spans="1:46">
      <c r="A71" s="34">
        <v>44668</v>
      </c>
      <c r="B71" s="35" t="s">
        <v>60</v>
      </c>
      <c r="C71" s="36" t="s">
        <v>64</v>
      </c>
      <c r="D71" s="38" t="s">
        <v>29</v>
      </c>
      <c r="E71" s="39" t="s">
        <v>22</v>
      </c>
      <c r="F71" s="38" t="s">
        <v>29</v>
      </c>
      <c r="G71" s="38" t="s">
        <v>29</v>
      </c>
      <c r="H71" s="21">
        <v>4.6149115454303703E-3</v>
      </c>
      <c r="I71" s="21">
        <v>2.3120972844505198E-2</v>
      </c>
      <c r="L71" s="36" t="s">
        <v>65</v>
      </c>
      <c r="M71" s="38" t="s">
        <v>29</v>
      </c>
      <c r="N71" s="36" t="s">
        <v>22</v>
      </c>
      <c r="O71" s="38" t="s">
        <v>29</v>
      </c>
      <c r="P71" s="38" t="s">
        <v>29</v>
      </c>
      <c r="Q71" s="21">
        <v>1.02705894798899E-2</v>
      </c>
      <c r="R71" s="21">
        <v>3.0451134601306901E-2</v>
      </c>
      <c r="S71" s="21"/>
      <c r="T71" s="21"/>
      <c r="U71" s="36" t="s">
        <v>66</v>
      </c>
      <c r="V71" s="38" t="s">
        <v>29</v>
      </c>
      <c r="W71" s="36" t="s">
        <v>22</v>
      </c>
      <c r="X71" s="38" t="s">
        <v>29</v>
      </c>
      <c r="Y71" s="38" t="s">
        <v>29</v>
      </c>
      <c r="Z71" s="21">
        <v>9.8022808940282907E-3</v>
      </c>
      <c r="AA71" s="21">
        <v>1.6760946482798599E-2</v>
      </c>
      <c r="AB71" s="21"/>
      <c r="AC71" s="21"/>
      <c r="AD71" s="36" t="s">
        <v>67</v>
      </c>
      <c r="AE71" s="38" t="s">
        <v>29</v>
      </c>
      <c r="AF71" s="36" t="s">
        <v>24</v>
      </c>
      <c r="AG71" s="38" t="s">
        <v>29</v>
      </c>
      <c r="AH71" s="38" t="s">
        <v>29</v>
      </c>
      <c r="AI71" s="21">
        <v>1.25757958676777E-2</v>
      </c>
      <c r="AJ71" s="21">
        <v>1.3500552113041599E-2</v>
      </c>
      <c r="AK71" s="21"/>
      <c r="AL71" s="21"/>
      <c r="AM71" s="36" t="s">
        <v>68</v>
      </c>
      <c r="AN71" s="38" t="s">
        <v>29</v>
      </c>
      <c r="AO71" s="36" t="s">
        <v>24</v>
      </c>
      <c r="AP71" s="38" t="s">
        <v>29</v>
      </c>
      <c r="AQ71" s="38" t="s">
        <v>29</v>
      </c>
      <c r="AR71" s="21">
        <v>1.2804341077649301E-2</v>
      </c>
      <c r="AS71" s="21">
        <v>1.09201594033887E-2</v>
      </c>
    </row>
    <row r="72" spans="1:46">
      <c r="A72" s="34">
        <v>44668</v>
      </c>
      <c r="B72" s="69" t="s">
        <v>58</v>
      </c>
      <c r="C72" s="36" t="s">
        <v>64</v>
      </c>
      <c r="D72" s="38" t="s">
        <v>29</v>
      </c>
      <c r="E72" s="39" t="s">
        <v>22</v>
      </c>
      <c r="F72" s="38" t="s">
        <v>29</v>
      </c>
      <c r="G72" s="38" t="s">
        <v>29</v>
      </c>
      <c r="H72" s="21">
        <v>4.4999574206197003E-3</v>
      </c>
      <c r="I72" s="21">
        <v>3.4795423360931999E-2</v>
      </c>
      <c r="L72" s="36" t="s">
        <v>65</v>
      </c>
      <c r="M72" s="38" t="s">
        <v>29</v>
      </c>
      <c r="N72" s="36" t="s">
        <v>22</v>
      </c>
      <c r="O72" s="38" t="s">
        <v>29</v>
      </c>
      <c r="P72" s="38" t="s">
        <v>29</v>
      </c>
      <c r="Q72" s="21">
        <v>1.0421436540862399E-2</v>
      </c>
      <c r="R72" s="21">
        <v>2.1345731717622302E-2</v>
      </c>
      <c r="S72" s="21"/>
      <c r="T72" s="21"/>
      <c r="U72" s="36" t="s">
        <v>66</v>
      </c>
      <c r="V72" s="38" t="s">
        <v>29</v>
      </c>
      <c r="W72" s="36" t="s">
        <v>22</v>
      </c>
      <c r="X72" s="38" t="s">
        <v>29</v>
      </c>
      <c r="Y72" s="38" t="s">
        <v>29</v>
      </c>
      <c r="Z72" s="21">
        <v>1.00537716528063E-2</v>
      </c>
      <c r="AA72" s="21">
        <v>2.5525088608199398E-2</v>
      </c>
      <c r="AB72" s="21"/>
      <c r="AC72" s="21"/>
      <c r="AD72" s="36" t="s">
        <v>67</v>
      </c>
      <c r="AE72" s="38" t="s">
        <v>29</v>
      </c>
      <c r="AF72" s="36" t="s">
        <v>24</v>
      </c>
      <c r="AG72" s="38" t="s">
        <v>29</v>
      </c>
      <c r="AH72" s="38" t="s">
        <v>29</v>
      </c>
      <c r="AI72" s="21">
        <v>1.3194835398854301E-2</v>
      </c>
      <c r="AJ72" s="21">
        <v>1.20246410954219E-2</v>
      </c>
      <c r="AK72" s="21"/>
      <c r="AL72" s="21"/>
      <c r="AM72" s="36" t="s">
        <v>68</v>
      </c>
      <c r="AN72" s="38" t="s">
        <v>29</v>
      </c>
      <c r="AO72" s="36" t="s">
        <v>24</v>
      </c>
      <c r="AP72" s="38" t="s">
        <v>29</v>
      </c>
      <c r="AQ72" s="38" t="s">
        <v>29</v>
      </c>
      <c r="AR72" s="21">
        <v>1.26638678958033E-2</v>
      </c>
      <c r="AS72" s="21">
        <v>7.49782020296344E-3</v>
      </c>
    </row>
    <row r="73" spans="1:46">
      <c r="A73" s="34">
        <v>44668</v>
      </c>
      <c r="B73" s="35" t="s">
        <v>55</v>
      </c>
      <c r="C73" s="36" t="s">
        <v>64</v>
      </c>
      <c r="D73" s="38" t="s">
        <v>29</v>
      </c>
      <c r="E73" s="39" t="s">
        <v>22</v>
      </c>
      <c r="F73" s="38" t="s">
        <v>29</v>
      </c>
      <c r="G73" s="38" t="s">
        <v>29</v>
      </c>
      <c r="H73" s="21">
        <v>4.5513456789515704E-3</v>
      </c>
      <c r="I73" s="21">
        <v>2.6898773378420299E-2</v>
      </c>
      <c r="L73" s="36" t="s">
        <v>65</v>
      </c>
      <c r="M73" s="38" t="s">
        <v>29</v>
      </c>
      <c r="N73" s="36" t="s">
        <v>22</v>
      </c>
      <c r="O73" s="38" t="s">
        <v>29</v>
      </c>
      <c r="P73" s="38" t="s">
        <v>29</v>
      </c>
      <c r="Q73" s="21">
        <v>9.9017598821707006E-3</v>
      </c>
      <c r="R73" s="21">
        <v>1.54399063933065E-2</v>
      </c>
      <c r="S73" s="21"/>
      <c r="T73" s="21"/>
      <c r="U73" s="36" t="s">
        <v>66</v>
      </c>
      <c r="V73" s="38" t="s">
        <v>29</v>
      </c>
      <c r="W73" s="36" t="s">
        <v>22</v>
      </c>
      <c r="X73" s="38" t="s">
        <v>29</v>
      </c>
      <c r="Y73" s="38" t="s">
        <v>29</v>
      </c>
      <c r="Z73" s="21">
        <v>9.5976040153251709E-3</v>
      </c>
      <c r="AA73" s="21">
        <v>1.27802226056362E-2</v>
      </c>
      <c r="AB73" s="21"/>
      <c r="AC73" s="21"/>
      <c r="AD73" s="36" t="s">
        <v>67</v>
      </c>
      <c r="AE73" s="38" t="s">
        <v>29</v>
      </c>
      <c r="AF73" s="36" t="s">
        <v>24</v>
      </c>
      <c r="AG73" s="38" t="s">
        <v>29</v>
      </c>
      <c r="AH73" s="38" t="s">
        <v>29</v>
      </c>
      <c r="AI73" s="21">
        <v>1.24915017674747E-2</v>
      </c>
      <c r="AJ73" s="21">
        <v>7.8248956070779193E-3</v>
      </c>
      <c r="AK73" s="21"/>
      <c r="AL73" s="21"/>
      <c r="AM73" s="36" t="s">
        <v>68</v>
      </c>
      <c r="AN73" s="38" t="s">
        <v>29</v>
      </c>
      <c r="AO73" s="36" t="s">
        <v>24</v>
      </c>
      <c r="AP73" s="38" t="s">
        <v>29</v>
      </c>
      <c r="AQ73" s="38" t="s">
        <v>29</v>
      </c>
      <c r="AR73" s="21">
        <v>1.26979127489113E-2</v>
      </c>
      <c r="AS73" s="21">
        <v>7.3940773112464702E-3</v>
      </c>
    </row>
    <row r="74" spans="1:46">
      <c r="A74" s="34">
        <v>44668</v>
      </c>
      <c r="B74" s="69" t="s">
        <v>59</v>
      </c>
      <c r="C74" s="36" t="s">
        <v>64</v>
      </c>
      <c r="D74" s="38" t="s">
        <v>29</v>
      </c>
      <c r="E74" s="39" t="s">
        <v>22</v>
      </c>
      <c r="F74" s="38" t="s">
        <v>29</v>
      </c>
      <c r="G74" s="38" t="s">
        <v>29</v>
      </c>
      <c r="H74" s="21">
        <v>4.4646865447693397E-3</v>
      </c>
      <c r="I74" s="21">
        <v>3.3881766176946097E-2</v>
      </c>
      <c r="L74" s="36" t="s">
        <v>65</v>
      </c>
      <c r="M74" s="38" t="s">
        <v>29</v>
      </c>
      <c r="N74" s="36" t="s">
        <v>22</v>
      </c>
      <c r="O74" s="38" t="s">
        <v>29</v>
      </c>
      <c r="P74" s="38" t="s">
        <v>29</v>
      </c>
      <c r="Q74" s="21">
        <v>9.9098716174336396E-3</v>
      </c>
      <c r="R74" s="21">
        <v>1.9518619409206701E-2</v>
      </c>
      <c r="S74" s="21"/>
      <c r="T74" s="21"/>
      <c r="U74" s="36" t="s">
        <v>66</v>
      </c>
      <c r="V74" s="38" t="s">
        <v>29</v>
      </c>
      <c r="W74" s="36" t="s">
        <v>22</v>
      </c>
      <c r="X74" s="38" t="s">
        <v>29</v>
      </c>
      <c r="Y74" s="38" t="s">
        <v>29</v>
      </c>
      <c r="Z74" s="21">
        <v>1.04039409098439E-2</v>
      </c>
      <c r="AA74" s="21">
        <v>2.3177234269433199E-2</v>
      </c>
      <c r="AB74" s="21"/>
      <c r="AC74" s="21"/>
      <c r="AD74" s="36" t="s">
        <v>67</v>
      </c>
      <c r="AE74" s="38" t="s">
        <v>29</v>
      </c>
      <c r="AF74" s="36" t="s">
        <v>24</v>
      </c>
      <c r="AG74" s="38" t="s">
        <v>29</v>
      </c>
      <c r="AH74" s="38" t="s">
        <v>29</v>
      </c>
      <c r="AI74" s="21">
        <v>1.3142523789130301E-2</v>
      </c>
      <c r="AJ74" s="21">
        <v>1.14366058662959E-2</v>
      </c>
      <c r="AK74" s="21"/>
      <c r="AL74" s="21"/>
      <c r="AM74" s="36" t="s">
        <v>68</v>
      </c>
      <c r="AN74" s="38" t="s">
        <v>29</v>
      </c>
      <c r="AO74" s="36" t="s">
        <v>24</v>
      </c>
      <c r="AP74" s="38" t="s">
        <v>29</v>
      </c>
      <c r="AQ74" s="38" t="s">
        <v>29</v>
      </c>
      <c r="AR74" s="21">
        <v>1.29739115903351E-2</v>
      </c>
      <c r="AS74" s="21">
        <v>1.0445223929491E-2</v>
      </c>
    </row>
    <row r="75" spans="1:46">
      <c r="A75" s="34">
        <v>44668</v>
      </c>
      <c r="B75" s="35" t="s">
        <v>61</v>
      </c>
      <c r="C75" s="36" t="s">
        <v>64</v>
      </c>
      <c r="D75" s="38" t="s">
        <v>29</v>
      </c>
      <c r="E75" s="39" t="s">
        <v>22</v>
      </c>
      <c r="F75" s="38" t="s">
        <v>29</v>
      </c>
      <c r="G75" s="38" t="s">
        <v>29</v>
      </c>
      <c r="H75" s="21">
        <v>4.5606614526448302E-3</v>
      </c>
      <c r="I75" s="21">
        <v>2.2727988868950201E-2</v>
      </c>
      <c r="L75" s="36" t="s">
        <v>65</v>
      </c>
      <c r="M75" s="38" t="s">
        <v>29</v>
      </c>
      <c r="N75" s="36" t="s">
        <v>22</v>
      </c>
      <c r="O75" s="38" t="s">
        <v>29</v>
      </c>
      <c r="P75" s="38" t="s">
        <v>29</v>
      </c>
      <c r="Q75" s="21">
        <v>9.9098716174336396E-3</v>
      </c>
      <c r="R75" s="21">
        <v>1.9518619409206701E-2</v>
      </c>
      <c r="S75" s="21"/>
      <c r="T75" s="21"/>
      <c r="U75" s="36" t="s">
        <v>66</v>
      </c>
      <c r="V75" s="38" t="s">
        <v>29</v>
      </c>
      <c r="W75" s="36" t="s">
        <v>22</v>
      </c>
      <c r="X75" s="38" t="s">
        <v>29</v>
      </c>
      <c r="Y75" s="38" t="s">
        <v>29</v>
      </c>
      <c r="Z75" s="21">
        <v>9.9637982210223405E-3</v>
      </c>
      <c r="AA75" s="21">
        <v>1.5051418162099499E-2</v>
      </c>
      <c r="AB75" s="21"/>
      <c r="AC75" s="21"/>
      <c r="AD75" s="36" t="s">
        <v>67</v>
      </c>
      <c r="AE75" s="38" t="s">
        <v>29</v>
      </c>
      <c r="AF75" s="36" t="s">
        <v>24</v>
      </c>
      <c r="AG75" s="38" t="s">
        <v>29</v>
      </c>
      <c r="AH75" s="38" t="s">
        <v>29</v>
      </c>
      <c r="AI75" s="21">
        <v>1.2792696557636899E-2</v>
      </c>
      <c r="AJ75" s="21">
        <v>1.04529409363384E-2</v>
      </c>
      <c r="AK75" s="21"/>
      <c r="AL75" s="21"/>
      <c r="AM75" s="36" t="s">
        <v>68</v>
      </c>
      <c r="AN75" s="38" t="s">
        <v>29</v>
      </c>
      <c r="AO75" s="36" t="s">
        <v>24</v>
      </c>
      <c r="AP75" s="38" t="s">
        <v>29</v>
      </c>
      <c r="AQ75" s="38" t="s">
        <v>29</v>
      </c>
      <c r="AR75" s="21">
        <v>1.2758807504271301E-2</v>
      </c>
      <c r="AS75" s="21">
        <v>6.9608887738503598E-3</v>
      </c>
    </row>
    <row r="76" spans="1:46">
      <c r="A76" s="34">
        <v>44668</v>
      </c>
      <c r="B76" s="35" t="s">
        <v>56</v>
      </c>
      <c r="C76" s="36" t="s">
        <v>64</v>
      </c>
      <c r="D76" s="38" t="s">
        <v>29</v>
      </c>
      <c r="E76" s="39" t="s">
        <v>22</v>
      </c>
      <c r="F76" s="38" t="s">
        <v>29</v>
      </c>
      <c r="G76" s="38" t="s">
        <v>29</v>
      </c>
      <c r="H76" s="21">
        <v>4.3267972533551496E-3</v>
      </c>
      <c r="I76" s="21">
        <v>2.7685778509220299E-2</v>
      </c>
      <c r="L76" s="36" t="s">
        <v>65</v>
      </c>
      <c r="M76" s="38" t="s">
        <v>29</v>
      </c>
      <c r="N76" s="36" t="s">
        <v>22</v>
      </c>
      <c r="O76" s="38" t="s">
        <v>29</v>
      </c>
      <c r="P76" s="38" t="s">
        <v>29</v>
      </c>
      <c r="Q76" s="21">
        <v>9.8425587131535999E-3</v>
      </c>
      <c r="R76" s="21">
        <v>1.504513004255E-2</v>
      </c>
      <c r="S76" s="21"/>
      <c r="T76" s="21"/>
      <c r="U76" s="36" t="s">
        <v>66</v>
      </c>
      <c r="V76" s="38" t="s">
        <v>29</v>
      </c>
      <c r="W76" s="36" t="s">
        <v>22</v>
      </c>
      <c r="X76" s="38" t="s">
        <v>29</v>
      </c>
      <c r="Y76" s="38" t="s">
        <v>29</v>
      </c>
      <c r="Z76" s="21">
        <v>9.5699592132698005E-3</v>
      </c>
      <c r="AA76" s="21">
        <v>1.2692107943671699E-2</v>
      </c>
      <c r="AB76" s="21"/>
      <c r="AC76" s="21"/>
      <c r="AD76" s="36" t="s">
        <v>67</v>
      </c>
      <c r="AE76" s="38" t="s">
        <v>29</v>
      </c>
      <c r="AF76" s="36" t="s">
        <v>24</v>
      </c>
      <c r="AG76" s="38" t="s">
        <v>29</v>
      </c>
      <c r="AH76" s="38" t="s">
        <v>29</v>
      </c>
      <c r="AI76" s="21">
        <v>1.2679448417850099E-2</v>
      </c>
      <c r="AJ76" s="21">
        <v>7.6149430542599003E-3</v>
      </c>
      <c r="AK76" s="21"/>
      <c r="AL76" s="21"/>
      <c r="AM76" s="36" t="s">
        <v>68</v>
      </c>
      <c r="AN76" s="38" t="s">
        <v>29</v>
      </c>
      <c r="AO76" s="36" t="s">
        <v>24</v>
      </c>
      <c r="AP76" s="38" t="s">
        <v>29</v>
      </c>
      <c r="AQ76" s="38" t="s">
        <v>29</v>
      </c>
      <c r="AR76" s="21">
        <v>1.24901233581949E-2</v>
      </c>
      <c r="AS76" s="21">
        <v>8.0995641747015207E-3</v>
      </c>
    </row>
    <row r="77" spans="1:46">
      <c r="A77" s="34">
        <v>44668</v>
      </c>
      <c r="B77" s="35" t="s">
        <v>52</v>
      </c>
      <c r="C77" s="36" t="s">
        <v>64</v>
      </c>
      <c r="D77" s="38" t="s">
        <v>29</v>
      </c>
      <c r="E77" s="39" t="s">
        <v>23</v>
      </c>
      <c r="F77" s="38" t="s">
        <v>29</v>
      </c>
      <c r="G77" s="38" t="s">
        <v>29</v>
      </c>
      <c r="H77" s="21">
        <v>4.8791787053928098E-3</v>
      </c>
      <c r="I77" s="21">
        <v>1.8346261265949199E-2</v>
      </c>
      <c r="L77" s="36" t="s">
        <v>65</v>
      </c>
      <c r="M77" s="38" t="s">
        <v>29</v>
      </c>
      <c r="N77" s="36" t="s">
        <v>22</v>
      </c>
      <c r="O77" s="38" t="s">
        <v>29</v>
      </c>
      <c r="P77" s="38" t="s">
        <v>29</v>
      </c>
      <c r="Q77" s="21">
        <v>9.7261224414565191E-3</v>
      </c>
      <c r="R77" s="21">
        <v>1.4229709441545E-2</v>
      </c>
      <c r="S77" s="21"/>
      <c r="T77" s="21"/>
      <c r="U77" s="36" t="s">
        <v>66</v>
      </c>
      <c r="V77" s="38" t="s">
        <v>29</v>
      </c>
      <c r="W77" s="36" t="s">
        <v>22</v>
      </c>
      <c r="X77" s="38" t="s">
        <v>29</v>
      </c>
      <c r="Y77" s="38" t="s">
        <v>29</v>
      </c>
      <c r="Z77" s="21">
        <v>9.9587205824323306E-3</v>
      </c>
      <c r="AA77" s="21">
        <v>1.24317174058653E-2</v>
      </c>
      <c r="AB77" s="21"/>
      <c r="AC77" s="21"/>
      <c r="AD77" s="36" t="s">
        <v>67</v>
      </c>
      <c r="AE77" s="38" t="s">
        <v>29</v>
      </c>
      <c r="AF77" s="36" t="s">
        <v>24</v>
      </c>
      <c r="AG77" s="38" t="s">
        <v>29</v>
      </c>
      <c r="AH77" s="38" t="s">
        <v>29</v>
      </c>
      <c r="AI77" s="21">
        <v>1.2567252858299899E-2</v>
      </c>
      <c r="AJ77" s="21">
        <v>7.1702645813881997E-3</v>
      </c>
      <c r="AK77" s="21"/>
      <c r="AL77" s="21"/>
      <c r="AM77" s="36" t="s">
        <v>68</v>
      </c>
      <c r="AN77" s="38" t="s">
        <v>29</v>
      </c>
      <c r="AO77" s="36" t="s">
        <v>24</v>
      </c>
      <c r="AP77" s="38" t="s">
        <v>29</v>
      </c>
      <c r="AQ77" s="38" t="s">
        <v>29</v>
      </c>
      <c r="AR77" s="21">
        <v>1.2561634299360301E-2</v>
      </c>
      <c r="AS77" s="21">
        <v>6.7392388137362301E-3</v>
      </c>
    </row>
    <row r="78" spans="1:46">
      <c r="A78" s="34"/>
      <c r="B78" s="35"/>
      <c r="C78" s="36"/>
      <c r="D78" s="38"/>
      <c r="E78" s="39"/>
      <c r="F78" s="38"/>
      <c r="G78" s="38"/>
      <c r="H78" s="21"/>
      <c r="I78" s="21"/>
      <c r="L78" s="36"/>
      <c r="M78" s="38"/>
      <c r="N78" s="36"/>
      <c r="O78" s="38"/>
      <c r="P78" s="38"/>
      <c r="Q78" s="21"/>
      <c r="R78" s="21"/>
      <c r="S78" s="21"/>
      <c r="T78" s="21"/>
      <c r="U78" s="36"/>
      <c r="V78" s="38"/>
      <c r="W78" s="36"/>
      <c r="X78" s="38"/>
      <c r="Y78" s="38"/>
      <c r="Z78" s="21"/>
      <c r="AA78" s="21"/>
      <c r="AB78" s="21"/>
      <c r="AC78" s="21"/>
      <c r="AD78" s="36"/>
      <c r="AE78" s="38"/>
      <c r="AF78" s="36"/>
      <c r="AG78" s="38"/>
      <c r="AH78" s="38"/>
      <c r="AI78" s="21"/>
      <c r="AJ78" s="21"/>
      <c r="AK78" s="21"/>
      <c r="AL78" s="21"/>
      <c r="AM78" s="36"/>
      <c r="AN78" s="38"/>
      <c r="AO78" s="36"/>
      <c r="AP78" s="38"/>
      <c r="AQ78" s="38"/>
      <c r="AR78" s="21"/>
      <c r="AS78" s="21"/>
    </row>
    <row r="79" spans="1:46">
      <c r="G79" s="62"/>
      <c r="H79" s="63" t="s">
        <v>96</v>
      </c>
      <c r="I79" s="63" t="s">
        <v>100</v>
      </c>
      <c r="J79" s="1"/>
      <c r="K79" s="1"/>
      <c r="P79" s="62"/>
      <c r="Q79" s="63" t="s">
        <v>96</v>
      </c>
      <c r="R79" s="63" t="s">
        <v>100</v>
      </c>
      <c r="S79" s="1"/>
      <c r="T79" s="1"/>
      <c r="Y79" s="62"/>
      <c r="Z79" s="63" t="s">
        <v>96</v>
      </c>
      <c r="AA79" s="63" t="s">
        <v>100</v>
      </c>
      <c r="AB79" s="1"/>
      <c r="AC79" s="1"/>
      <c r="AH79" s="62"/>
      <c r="AI79" s="63" t="s">
        <v>96</v>
      </c>
      <c r="AJ79" s="63" t="s">
        <v>100</v>
      </c>
      <c r="AK79" s="1"/>
      <c r="AL79" s="1"/>
      <c r="AQ79" s="62"/>
      <c r="AR79" s="63" t="s">
        <v>96</v>
      </c>
      <c r="AS79" s="63" t="s">
        <v>100</v>
      </c>
      <c r="AT79" s="1"/>
    </row>
    <row r="80" spans="1:46">
      <c r="G80" s="63" t="s">
        <v>94</v>
      </c>
      <c r="H80" s="64">
        <f>SUM(H70/I70^2,H72/I72^2,H74/I74^2)/SUM(1/I70^2,1/I72^2,1/I74^2)</f>
        <v>4.5574774065525138E-3</v>
      </c>
      <c r="I80" s="64">
        <f>SQRT(1/SUM(1/I70^2,1/I72^2,1/I74^2))</f>
        <v>1.9806062343528531E-2</v>
      </c>
      <c r="P80" s="63" t="s">
        <v>94</v>
      </c>
      <c r="Q80" s="64">
        <f>SUM(Q70/R70^2,Q72/R72^2,Q74/R74^2)/SUM(1/R70^2,1/R72^2,1/R74^2)</f>
        <v>1.013751591566487E-2</v>
      </c>
      <c r="R80" s="64">
        <f>SQRT(1/SUM(1/R70^2,1/R72^2,1/R74^2))</f>
        <v>1.2822302724913427E-2</v>
      </c>
      <c r="Y80" s="63" t="s">
        <v>94</v>
      </c>
      <c r="Z80" s="64">
        <f>SUM(Z70/AA70^2,Z72/AA72^2,Z74/AA74^2)/SUM(1/AA70^2,1/AA72^2,1/AA74^2)</f>
        <v>1.0181463797156591E-2</v>
      </c>
      <c r="AA80" s="64">
        <f>SQRT(1/SUM(1/AA70^2,1/AA72^2,1/AA74^2))</f>
        <v>1.5017479437676503E-2</v>
      </c>
      <c r="AH80" s="63" t="s">
        <v>94</v>
      </c>
      <c r="AI80" s="64">
        <f>SUM(AI70/AJ70^2,AI72/AJ72^2,AI74/AJ74^2)/SUM(1/AJ70^2,1/AJ72^2,1/AJ74^2)</f>
        <v>1.3100899247429111E-2</v>
      </c>
      <c r="AJ80" s="64">
        <f>SQRT(1/SUM(1/AJ70^2,1/AJ72^2,1/AJ74^2))</f>
        <v>7.4237977401402653E-3</v>
      </c>
      <c r="AQ80" s="63" t="s">
        <v>94</v>
      </c>
      <c r="AR80" s="64">
        <f>SUM(AR70/AS70^2,AR72/AS72^2,AR74/AS74^2)/SUM(1/AS70^2,1/AS72^2,1/AS74^2)</f>
        <v>1.2782274366398883E-2</v>
      </c>
      <c r="AS80" s="64">
        <f>SQRT(1/SUM(1/AS70^2,1/AS72^2,1/AS74^2))</f>
        <v>5.4136589967443216E-3</v>
      </c>
    </row>
    <row r="81" spans="1:120">
      <c r="G81" s="63" t="s">
        <v>95</v>
      </c>
      <c r="H81" s="64">
        <f>SUM(H69/I69^2,H71/I71^2,H73/I73^2,H75/I75^2,H76/I76^2)/SUM(1/I69^2,1/I71^2,1/I73^2,1/I75^2,1/I76^2)</f>
        <v>4.5717318020336911E-3</v>
      </c>
      <c r="I81" s="64">
        <f>SQRT(1/SUM(1/I69^2,1/I71^2,1/I73^2,1/I75^2,1/I76^2))</f>
        <v>1.1053915235613445E-2</v>
      </c>
      <c r="P81" s="63" t="s">
        <v>95</v>
      </c>
      <c r="Q81" s="64">
        <f>SUM(Q69/R69^2,Q71/R71^2,Q73/R73^2,Q75/R75^2,Q76/R76^2)/SUM(1/R69^2,1/R71^2,1/R73^2,1/R75^2,1/R76^2)</f>
        <v>9.8953433959420387E-3</v>
      </c>
      <c r="R81" s="64">
        <f>SQRT(1/SUM(1/R69^2,1/R71^2,1/R73^2,1/R75^2,1/R76^2))</f>
        <v>7.9547668544140762E-3</v>
      </c>
      <c r="Y81" s="63" t="s">
        <v>95</v>
      </c>
      <c r="Z81" s="64">
        <f>SUM(Z69/AA69^2,Z71/AA71^2,Z73/AA73^2,Z75/AA75^2,Z76/AA76^2)/SUM(1/AA69^2,1/AA71^2,1/AA73^2,1/AA75^2,1/AA76^2)</f>
        <v>9.6441172766615606E-3</v>
      </c>
      <c r="AA81" s="64">
        <f>SQRT(1/SUM(1/AA69^2,1/AA71^2,1/AA73^2,1/AA75^2,1/AA76^2))</f>
        <v>6.2994819031624598E-3</v>
      </c>
      <c r="AH81" s="63" t="s">
        <v>95</v>
      </c>
      <c r="AI81" s="64">
        <f>SUM(AI69/AJ69^2,AI71/AJ71^2,AI73/AJ73^2,AI75/AJ75^2,AI76/AJ76^2)/SUM(1/AJ69^2,1/AJ71^2,1/AJ73^2,1/AJ75^2,1/AJ76^2)</f>
        <v>1.2643533645159718E-2</v>
      </c>
      <c r="AJ81" s="64">
        <f>SQRT(1/SUM(1/AJ69^2,1/AJ71^2,1/AJ73^2,1/AJ75^2,1/AJ76^2))</f>
        <v>4.027500040025063E-3</v>
      </c>
      <c r="AQ81" s="63" t="s">
        <v>95</v>
      </c>
      <c r="AR81" s="64">
        <f>SUM(AR69/AS69^2,AR71/AS71^2,AR73/AS73^2,AR75/AS75^2,AR76/AS76^2)/SUM(1/AS69^2,1/AS71^2,1/AS73^2,1/AS75^2,1/AS76^2)</f>
        <v>1.2631858256747926E-2</v>
      </c>
      <c r="AS81" s="64">
        <f>SQRT(1/SUM(1/AS69^2,1/AS71^2,1/AS73^2,1/AS75^2,1/AS76^2))</f>
        <v>3.4711300024619818E-3</v>
      </c>
    </row>
    <row r="82" spans="1:120">
      <c r="G82" s="65" t="s">
        <v>97</v>
      </c>
      <c r="H82" s="64">
        <f>H80/H81</f>
        <v>0.99688205780688266</v>
      </c>
      <c r="I82" s="64">
        <f>SQRT(I80^2+I81^2)</f>
        <v>2.2681912344241741E-2</v>
      </c>
      <c r="P82" s="65" t="s">
        <v>97</v>
      </c>
      <c r="Q82" s="64">
        <f>Q80/Q81</f>
        <v>1.0244733820780938</v>
      </c>
      <c r="R82" s="64">
        <f>SQRT(R80^2+R81^2)</f>
        <v>1.5089392395898753E-2</v>
      </c>
      <c r="Y82" s="65" t="s">
        <v>97</v>
      </c>
      <c r="Z82" s="64">
        <f>Z80/Z81</f>
        <v>1.0557175431488572</v>
      </c>
      <c r="AA82" s="64">
        <f>SQRT(AA80^2+AA81^2)</f>
        <v>1.6285212952531748E-2</v>
      </c>
      <c r="AH82" s="65" t="s">
        <v>97</v>
      </c>
      <c r="AI82" s="64">
        <f>AI80/AI81</f>
        <v>1.0361738747335469</v>
      </c>
      <c r="AJ82" s="64">
        <f>SQRT(AJ80^2+AJ81^2)</f>
        <v>8.4459179168941481E-3</v>
      </c>
      <c r="AQ82" s="65" t="s">
        <v>97</v>
      </c>
      <c r="AR82" s="64">
        <f>AR80/AR81</f>
        <v>1.0119076787115313</v>
      </c>
      <c r="AS82" s="64">
        <f>SQRT(AS80^2+AS81^2)</f>
        <v>6.4308978554337539E-3</v>
      </c>
    </row>
    <row r="83" spans="1:120">
      <c r="G83" s="65" t="s">
        <v>99</v>
      </c>
      <c r="H83" s="64">
        <f>(H82-1)*1000</f>
        <v>-3.1179421931173401</v>
      </c>
      <c r="I83" s="64">
        <f>I82*1000</f>
        <v>22.681912344241741</v>
      </c>
      <c r="P83" s="65" t="s">
        <v>99</v>
      </c>
      <c r="Q83" s="64">
        <f>(Q82-1)*1000</f>
        <v>24.473382078093799</v>
      </c>
      <c r="R83" s="64">
        <f>R82*1000</f>
        <v>15.089392395898754</v>
      </c>
      <c r="Y83" s="65" t="s">
        <v>99</v>
      </c>
      <c r="Z83" s="64">
        <f>(Z82-1)*1000</f>
        <v>55.717543148857239</v>
      </c>
      <c r="AA83" s="64">
        <f>AA82*1000</f>
        <v>16.285212952531747</v>
      </c>
      <c r="AH83" s="65" t="s">
        <v>99</v>
      </c>
      <c r="AI83" s="64">
        <f>(AI82-1)*1000</f>
        <v>36.173874733546938</v>
      </c>
      <c r="AJ83" s="64">
        <f>AJ82*1000</f>
        <v>8.4459179168941478</v>
      </c>
      <c r="AQ83" s="65" t="s">
        <v>99</v>
      </c>
      <c r="AR83" s="64">
        <f>(AR82-1)*1000</f>
        <v>11.907678711531311</v>
      </c>
      <c r="AS83" s="64">
        <f>AS82*1000</f>
        <v>6.4308978554337539</v>
      </c>
    </row>
    <row r="84" spans="1:120">
      <c r="G84" s="66"/>
      <c r="P84" s="66"/>
      <c r="Y84" s="66"/>
      <c r="AH84" s="66"/>
      <c r="AQ84" s="66"/>
    </row>
    <row r="86" spans="1:120" ht="29">
      <c r="A86" s="14" t="s">
        <v>69</v>
      </c>
      <c r="F86" s="50" t="s">
        <v>83</v>
      </c>
      <c r="O86" s="50" t="s">
        <v>83</v>
      </c>
      <c r="X86" s="50" t="s">
        <v>83</v>
      </c>
      <c r="AG86" s="50" t="s">
        <v>83</v>
      </c>
      <c r="AP86" s="50" t="s">
        <v>83</v>
      </c>
    </row>
    <row r="87" spans="1:120" s="54" customFormat="1">
      <c r="A87" s="59">
        <v>44669</v>
      </c>
      <c r="B87" s="40" t="s">
        <v>71</v>
      </c>
      <c r="C87" s="40" t="s">
        <v>81</v>
      </c>
      <c r="D87" s="46" t="s">
        <v>29</v>
      </c>
      <c r="E87" s="40" t="s">
        <v>80</v>
      </c>
      <c r="F87" s="49">
        <v>200000</v>
      </c>
      <c r="G87" s="41"/>
      <c r="H87" s="21">
        <v>4.5134165989448402E-2</v>
      </c>
      <c r="I87" s="21">
        <v>1.7252751342510499E-2</v>
      </c>
      <c r="J87" s="58"/>
      <c r="K87" s="58"/>
      <c r="L87" s="54" t="s">
        <v>85</v>
      </c>
      <c r="M87" s="55" t="s">
        <v>29</v>
      </c>
      <c r="N87" s="54" t="s">
        <v>80</v>
      </c>
      <c r="O87" s="57">
        <v>51300</v>
      </c>
      <c r="P87" s="56"/>
      <c r="S87" s="58"/>
      <c r="T87" s="58"/>
      <c r="V87" s="55" t="s">
        <v>29</v>
      </c>
      <c r="W87" s="54" t="s">
        <v>80</v>
      </c>
      <c r="X87" s="57">
        <v>40000</v>
      </c>
      <c r="Y87" s="56"/>
      <c r="AB87" s="58"/>
      <c r="AC87" s="58"/>
      <c r="AD87" s="40" t="s">
        <v>90</v>
      </c>
      <c r="AE87" s="46" t="s">
        <v>29</v>
      </c>
      <c r="AF87" s="40" t="s">
        <v>80</v>
      </c>
      <c r="AG87" s="51">
        <v>76000</v>
      </c>
      <c r="AH87" s="41"/>
      <c r="AI87" s="21">
        <v>6.9716681193270402E-2</v>
      </c>
      <c r="AJ87" s="21">
        <v>8.7640919045720092E-3</v>
      </c>
      <c r="AK87" s="21"/>
      <c r="AL87" s="21"/>
      <c r="AM87" s="40" t="s">
        <v>92</v>
      </c>
      <c r="AN87" s="46" t="s">
        <v>29</v>
      </c>
      <c r="AO87" s="40" t="s">
        <v>80</v>
      </c>
      <c r="AP87" s="51">
        <v>300000</v>
      </c>
      <c r="AQ87" s="41"/>
      <c r="AR87" s="21">
        <v>7.0000109342050601E-2</v>
      </c>
      <c r="AS87" s="21">
        <v>9.0645594038067292E-3</v>
      </c>
      <c r="AT87" s="58"/>
      <c r="AU87" s="58"/>
      <c r="AV87" s="58"/>
      <c r="AW87" s="58"/>
      <c r="AX87" s="58"/>
      <c r="AY87" s="58"/>
      <c r="AZ87" s="58"/>
      <c r="BA87" s="58"/>
      <c r="BB87" s="58"/>
      <c r="BC87" s="58"/>
      <c r="BD87" s="58"/>
      <c r="BE87" s="58"/>
      <c r="BF87" s="58"/>
      <c r="BG87" s="58"/>
      <c r="BH87" s="58"/>
      <c r="BI87" s="58"/>
      <c r="BJ87" s="58"/>
      <c r="BK87" s="58"/>
      <c r="BL87" s="58"/>
      <c r="BM87" s="58"/>
      <c r="BN87" s="58"/>
      <c r="BO87" s="58"/>
      <c r="BP87" s="58"/>
      <c r="BQ87" s="58"/>
      <c r="BR87" s="58"/>
      <c r="BS87" s="58"/>
      <c r="BT87" s="58"/>
      <c r="BU87" s="58"/>
      <c r="BV87" s="58"/>
      <c r="BW87" s="58"/>
      <c r="BX87" s="58"/>
      <c r="BY87" s="58"/>
      <c r="BZ87" s="58"/>
      <c r="CA87" s="58"/>
      <c r="CB87" s="58"/>
      <c r="CC87" s="58"/>
      <c r="CD87" s="58"/>
      <c r="CE87" s="58"/>
      <c r="CF87" s="58"/>
      <c r="CG87" s="58"/>
      <c r="CH87" s="58"/>
      <c r="CI87" s="58"/>
      <c r="CJ87" s="58"/>
      <c r="CK87" s="58"/>
      <c r="CL87" s="58"/>
      <c r="CM87" s="58"/>
      <c r="CN87" s="58"/>
      <c r="CO87" s="58"/>
      <c r="CP87" s="58"/>
      <c r="CQ87" s="58"/>
      <c r="CR87" s="58"/>
      <c r="CS87" s="58"/>
      <c r="CT87" s="58"/>
      <c r="CU87" s="58"/>
      <c r="CV87" s="58"/>
      <c r="CW87" s="58"/>
      <c r="CX87" s="58"/>
      <c r="CY87" s="58"/>
      <c r="CZ87" s="58"/>
      <c r="DA87" s="58"/>
      <c r="DB87" s="58"/>
      <c r="DC87" s="58"/>
      <c r="DD87" s="58"/>
      <c r="DE87" s="58"/>
      <c r="DF87" s="58"/>
      <c r="DG87" s="58"/>
      <c r="DH87" s="58"/>
      <c r="DI87" s="58"/>
      <c r="DJ87" s="58"/>
      <c r="DK87" s="58"/>
      <c r="DL87" s="58"/>
      <c r="DM87" s="58"/>
      <c r="DN87" s="58"/>
      <c r="DO87" s="58"/>
      <c r="DP87" s="58"/>
    </row>
    <row r="88" spans="1:120" s="54" customFormat="1">
      <c r="A88" s="59">
        <v>44669</v>
      </c>
      <c r="B88" s="60" t="s">
        <v>72</v>
      </c>
      <c r="C88" s="40" t="s">
        <v>81</v>
      </c>
      <c r="D88" s="46" t="s">
        <v>29</v>
      </c>
      <c r="E88" s="40" t="s">
        <v>80</v>
      </c>
      <c r="F88" s="49">
        <v>16000</v>
      </c>
      <c r="G88" s="41"/>
      <c r="H88" s="21">
        <v>4.7065492421371903E-2</v>
      </c>
      <c r="I88" s="21">
        <v>4.7971324361575703E-2</v>
      </c>
      <c r="J88" s="58"/>
      <c r="K88" s="58"/>
      <c r="L88" s="54" t="s">
        <v>84</v>
      </c>
      <c r="M88" s="55" t="s">
        <v>29</v>
      </c>
      <c r="N88" s="54" t="s">
        <v>80</v>
      </c>
      <c r="O88" s="57">
        <v>6000</v>
      </c>
      <c r="P88" s="56"/>
      <c r="S88" s="58"/>
      <c r="T88" s="58"/>
      <c r="V88" s="55" t="s">
        <v>29</v>
      </c>
      <c r="W88" s="54" t="s">
        <v>80</v>
      </c>
      <c r="X88" s="57">
        <v>3000</v>
      </c>
      <c r="Y88" s="56"/>
      <c r="AB88" s="58"/>
      <c r="AC88" s="58"/>
      <c r="AD88" s="40" t="s">
        <v>90</v>
      </c>
      <c r="AE88" s="46" t="s">
        <v>29</v>
      </c>
      <c r="AF88" s="40" t="s">
        <v>80</v>
      </c>
      <c r="AG88" s="51">
        <v>40000</v>
      </c>
      <c r="AH88" s="41"/>
      <c r="AI88" s="21">
        <v>7.2111147437749504E-2</v>
      </c>
      <c r="AJ88" s="21">
        <v>1.5240157768632899E-2</v>
      </c>
      <c r="AK88" s="21"/>
      <c r="AL88" s="21"/>
      <c r="AM88" s="40" t="s">
        <v>92</v>
      </c>
      <c r="AN88" s="46" t="s">
        <v>29</v>
      </c>
      <c r="AO88" s="40" t="s">
        <v>80</v>
      </c>
      <c r="AP88" s="51">
        <v>128000</v>
      </c>
      <c r="AQ88" s="41"/>
      <c r="AR88" s="21">
        <v>7.2327423275112004E-2</v>
      </c>
      <c r="AS88" s="21">
        <v>1.1294823287354001E-2</v>
      </c>
      <c r="AT88" s="58"/>
      <c r="AU88" s="58"/>
      <c r="AV88" s="58"/>
      <c r="AW88" s="58"/>
      <c r="AX88" s="58"/>
      <c r="AY88" s="58"/>
      <c r="AZ88" s="58"/>
      <c r="BA88" s="58"/>
      <c r="BB88" s="58"/>
      <c r="BC88" s="58"/>
      <c r="BD88" s="58"/>
      <c r="BE88" s="58"/>
      <c r="BF88" s="58"/>
      <c r="BG88" s="58"/>
      <c r="BH88" s="58"/>
      <c r="BI88" s="58"/>
      <c r="BJ88" s="58"/>
      <c r="BK88" s="58"/>
      <c r="BL88" s="58"/>
      <c r="BM88" s="58"/>
      <c r="BN88" s="58"/>
      <c r="BO88" s="58"/>
      <c r="BP88" s="58"/>
      <c r="BQ88" s="58"/>
      <c r="BR88" s="58"/>
      <c r="BS88" s="58"/>
      <c r="BT88" s="58"/>
      <c r="BU88" s="58"/>
      <c r="BV88" s="58"/>
      <c r="BW88" s="58"/>
      <c r="BX88" s="58"/>
      <c r="BY88" s="58"/>
      <c r="BZ88" s="58"/>
      <c r="CA88" s="58"/>
      <c r="CB88" s="58"/>
      <c r="CC88" s="58"/>
      <c r="CD88" s="58"/>
      <c r="CE88" s="58"/>
      <c r="CF88" s="58"/>
      <c r="CG88" s="58"/>
      <c r="CH88" s="58"/>
      <c r="CI88" s="58"/>
      <c r="CJ88" s="58"/>
      <c r="CK88" s="58"/>
      <c r="CL88" s="58"/>
      <c r="CM88" s="58"/>
      <c r="CN88" s="58"/>
      <c r="CO88" s="58"/>
      <c r="CP88" s="58"/>
      <c r="CQ88" s="58"/>
      <c r="CR88" s="58"/>
      <c r="CS88" s="58"/>
      <c r="CT88" s="58"/>
      <c r="CU88" s="58"/>
      <c r="CV88" s="58"/>
      <c r="CW88" s="58"/>
      <c r="CX88" s="58"/>
      <c r="CY88" s="58"/>
      <c r="CZ88" s="58"/>
      <c r="DA88" s="58"/>
      <c r="DB88" s="58"/>
      <c r="DC88" s="58"/>
      <c r="DD88" s="58"/>
      <c r="DE88" s="58"/>
      <c r="DF88" s="58"/>
      <c r="DG88" s="58"/>
      <c r="DH88" s="58"/>
      <c r="DI88" s="58"/>
      <c r="DJ88" s="58"/>
      <c r="DK88" s="58"/>
      <c r="DL88" s="58"/>
      <c r="DM88" s="58"/>
      <c r="DN88" s="58"/>
      <c r="DO88" s="58"/>
      <c r="DP88" s="58"/>
    </row>
    <row r="89" spans="1:120" s="54" customFormat="1">
      <c r="A89" s="59">
        <v>44669</v>
      </c>
      <c r="B89" s="40" t="s">
        <v>73</v>
      </c>
      <c r="C89" s="40" t="s">
        <v>81</v>
      </c>
      <c r="D89" s="46" t="s">
        <v>29</v>
      </c>
      <c r="E89" s="40" t="s">
        <v>80</v>
      </c>
      <c r="F89" s="49">
        <v>52000</v>
      </c>
      <c r="G89" s="41"/>
      <c r="H89" s="21">
        <v>4.5646350377091E-2</v>
      </c>
      <c r="I89" s="21">
        <v>2.0523763310863301E-2</v>
      </c>
      <c r="J89" s="58"/>
      <c r="K89" s="58"/>
      <c r="L89" s="54" t="s">
        <v>84</v>
      </c>
      <c r="M89" s="55" t="s">
        <v>29</v>
      </c>
      <c r="N89" s="54" t="s">
        <v>80</v>
      </c>
      <c r="O89" s="57">
        <v>9000</v>
      </c>
      <c r="P89" s="56"/>
      <c r="S89" s="58"/>
      <c r="T89" s="58"/>
      <c r="V89" s="55" t="s">
        <v>29</v>
      </c>
      <c r="W89" s="54" t="s">
        <v>80</v>
      </c>
      <c r="X89" s="57">
        <v>4000</v>
      </c>
      <c r="Y89" s="56"/>
      <c r="AB89" s="58"/>
      <c r="AC89" s="58"/>
      <c r="AD89" s="40" t="s">
        <v>90</v>
      </c>
      <c r="AE89" s="46" t="s">
        <v>29</v>
      </c>
      <c r="AF89" s="40" t="s">
        <v>80</v>
      </c>
      <c r="AG89" s="51">
        <v>28600</v>
      </c>
      <c r="AH89" s="41"/>
      <c r="AI89" s="21">
        <v>7.0268663396156797E-2</v>
      </c>
      <c r="AJ89" s="21">
        <v>1.3723586496509101E-2</v>
      </c>
      <c r="AK89" s="21"/>
      <c r="AL89" s="21"/>
      <c r="AM89" s="40" t="s">
        <v>92</v>
      </c>
      <c r="AN89" s="46" t="s">
        <v>29</v>
      </c>
      <c r="AO89" s="40" t="s">
        <v>80</v>
      </c>
      <c r="AP89" s="51">
        <v>140000</v>
      </c>
      <c r="AQ89" s="41"/>
      <c r="AR89" s="21">
        <v>6.9853824473638498E-2</v>
      </c>
      <c r="AS89" s="21">
        <v>8.4377607783140806E-3</v>
      </c>
      <c r="AT89" s="58"/>
      <c r="AU89" s="58"/>
      <c r="AV89" s="58"/>
      <c r="AW89" s="58"/>
      <c r="AX89" s="58"/>
      <c r="AY89" s="58"/>
      <c r="AZ89" s="58"/>
      <c r="BA89" s="58"/>
      <c r="BB89" s="58"/>
      <c r="BC89" s="58"/>
      <c r="BD89" s="58"/>
      <c r="BE89" s="58"/>
      <c r="BF89" s="58"/>
      <c r="BG89" s="58"/>
      <c r="BH89" s="58"/>
      <c r="BI89" s="58"/>
      <c r="BJ89" s="58"/>
      <c r="BK89" s="58"/>
      <c r="BL89" s="58"/>
      <c r="BM89" s="58"/>
      <c r="BN89" s="58"/>
      <c r="BO89" s="58"/>
      <c r="BP89" s="58"/>
      <c r="BQ89" s="58"/>
      <c r="BR89" s="58"/>
      <c r="BS89" s="58"/>
      <c r="BT89" s="58"/>
      <c r="BU89" s="58"/>
      <c r="BV89" s="58"/>
      <c r="BW89" s="58"/>
      <c r="BX89" s="58"/>
      <c r="BY89" s="58"/>
      <c r="BZ89" s="58"/>
      <c r="CA89" s="58"/>
      <c r="CB89" s="58"/>
      <c r="CC89" s="58"/>
      <c r="CD89" s="58"/>
      <c r="CE89" s="58"/>
      <c r="CF89" s="58"/>
      <c r="CG89" s="58"/>
      <c r="CH89" s="58"/>
      <c r="CI89" s="58"/>
      <c r="CJ89" s="58"/>
      <c r="CK89" s="58"/>
      <c r="CL89" s="58"/>
      <c r="CM89" s="58"/>
      <c r="CN89" s="58"/>
      <c r="CO89" s="58"/>
      <c r="CP89" s="58"/>
      <c r="CQ89" s="58"/>
      <c r="CR89" s="58"/>
      <c r="CS89" s="58"/>
      <c r="CT89" s="58"/>
      <c r="CU89" s="58"/>
      <c r="CV89" s="58"/>
      <c r="CW89" s="58"/>
      <c r="CX89" s="58"/>
      <c r="CY89" s="58"/>
      <c r="CZ89" s="58"/>
      <c r="DA89" s="58"/>
      <c r="DB89" s="58"/>
      <c r="DC89" s="58"/>
      <c r="DD89" s="58"/>
      <c r="DE89" s="58"/>
      <c r="DF89" s="58"/>
      <c r="DG89" s="58"/>
      <c r="DH89" s="58"/>
      <c r="DI89" s="58"/>
      <c r="DJ89" s="58"/>
      <c r="DK89" s="58"/>
      <c r="DL89" s="58"/>
      <c r="DM89" s="58"/>
      <c r="DN89" s="58"/>
      <c r="DO89" s="58"/>
      <c r="DP89" s="58"/>
    </row>
    <row r="90" spans="1:120">
      <c r="A90" s="59">
        <v>44669</v>
      </c>
      <c r="B90" s="60" t="s">
        <v>74</v>
      </c>
      <c r="C90" s="40" t="s">
        <v>81</v>
      </c>
      <c r="D90" s="46" t="s">
        <v>29</v>
      </c>
      <c r="E90" s="40" t="s">
        <v>80</v>
      </c>
      <c r="F90" s="49">
        <v>75100</v>
      </c>
      <c r="G90" s="41"/>
      <c r="H90" s="21">
        <v>4.8945133358949497E-2</v>
      </c>
      <c r="I90" s="21">
        <v>2.0574336742413001E-2</v>
      </c>
      <c r="L90" s="40" t="s">
        <v>86</v>
      </c>
      <c r="M90" s="46" t="s">
        <v>29</v>
      </c>
      <c r="N90" s="40" t="s">
        <v>80</v>
      </c>
      <c r="O90" s="51">
        <v>50000</v>
      </c>
      <c r="P90" s="41"/>
      <c r="Q90" s="21">
        <v>6.4856318939465696E-2</v>
      </c>
      <c r="R90" s="21">
        <v>1.30245163960714E-2</v>
      </c>
      <c r="S90" s="21"/>
      <c r="T90" s="21"/>
      <c r="U90" s="40" t="s">
        <v>87</v>
      </c>
      <c r="V90" s="46" t="s">
        <v>29</v>
      </c>
      <c r="W90" s="40" t="s">
        <v>80</v>
      </c>
      <c r="X90" s="51">
        <v>10000</v>
      </c>
      <c r="Y90" s="41"/>
      <c r="Z90" s="21">
        <v>6.6283026533891301E-2</v>
      </c>
      <c r="AA90" s="21">
        <v>2.0517583937871502E-2</v>
      </c>
      <c r="AB90" s="21"/>
      <c r="AC90" s="21"/>
      <c r="AD90" s="40" t="s">
        <v>90</v>
      </c>
      <c r="AE90" s="46" t="s">
        <v>29</v>
      </c>
      <c r="AF90" s="40" t="s">
        <v>80</v>
      </c>
      <c r="AG90" s="51">
        <v>270000</v>
      </c>
      <c r="AH90" s="41"/>
      <c r="AI90" s="21">
        <v>7.1720552909892599E-2</v>
      </c>
      <c r="AJ90" s="21">
        <v>1.1694747363948901E-2</v>
      </c>
      <c r="AK90" s="21"/>
      <c r="AL90" s="21"/>
      <c r="AM90" s="40" t="s">
        <v>92</v>
      </c>
      <c r="AN90" s="46" t="s">
        <v>29</v>
      </c>
      <c r="AO90" s="40" t="s">
        <v>80</v>
      </c>
      <c r="AP90" s="51">
        <v>750000</v>
      </c>
      <c r="AQ90" s="41"/>
      <c r="AR90" s="21">
        <v>7.28156663433292E-2</v>
      </c>
      <c r="AS90" s="21">
        <v>1.02896217024272E-2</v>
      </c>
    </row>
    <row r="91" spans="1:120">
      <c r="A91" s="59">
        <v>44669</v>
      </c>
      <c r="B91" s="40" t="s">
        <v>75</v>
      </c>
      <c r="C91" s="40" t="s">
        <v>81</v>
      </c>
      <c r="D91" s="46" t="s">
        <v>29</v>
      </c>
      <c r="E91" s="40" t="s">
        <v>80</v>
      </c>
      <c r="F91" s="49">
        <v>134000</v>
      </c>
      <c r="G91" s="41"/>
      <c r="H91" s="21">
        <v>4.5626515124482597E-2</v>
      </c>
      <c r="I91" s="21">
        <v>1.8094972830457402E-2</v>
      </c>
      <c r="L91" s="40" t="s">
        <v>86</v>
      </c>
      <c r="M91" s="46" t="s">
        <v>29</v>
      </c>
      <c r="N91" s="40" t="s">
        <v>80</v>
      </c>
      <c r="O91" s="51">
        <v>20000</v>
      </c>
      <c r="P91" s="41"/>
      <c r="Q91" s="21">
        <v>6.2626611001971394E-2</v>
      </c>
      <c r="R91" s="21">
        <v>1.9994855133842599E-2</v>
      </c>
      <c r="S91" s="21"/>
      <c r="T91" s="21"/>
      <c r="U91" s="40" t="s">
        <v>87</v>
      </c>
      <c r="V91" s="46" t="s">
        <v>29</v>
      </c>
      <c r="W91" s="40" t="s">
        <v>80</v>
      </c>
      <c r="X91" s="51">
        <v>10000</v>
      </c>
      <c r="Y91" s="41"/>
      <c r="Z91" s="21">
        <v>6.18355031935501E-2</v>
      </c>
      <c r="AA91" s="21">
        <v>1.8049456236818001E-2</v>
      </c>
      <c r="AB91" s="21"/>
      <c r="AC91" s="21"/>
      <c r="AD91" s="40" t="s">
        <v>90</v>
      </c>
      <c r="AE91" s="46" t="s">
        <v>29</v>
      </c>
      <c r="AF91" s="40" t="s">
        <v>80</v>
      </c>
      <c r="AG91" s="51">
        <v>57000</v>
      </c>
      <c r="AH91" s="41"/>
      <c r="AI91" s="21">
        <v>6.85351418690089E-2</v>
      </c>
      <c r="AJ91" s="21">
        <v>9.5181347902789492E-3</v>
      </c>
      <c r="AK91" s="21"/>
      <c r="AL91" s="21"/>
      <c r="AM91" s="40" t="s">
        <v>92</v>
      </c>
      <c r="AN91" s="46" t="s">
        <v>29</v>
      </c>
      <c r="AO91" s="40" t="s">
        <v>80</v>
      </c>
      <c r="AP91" s="51">
        <v>250000</v>
      </c>
      <c r="AQ91" s="41"/>
      <c r="AR91" s="21">
        <v>6.8164301964457497E-2</v>
      </c>
      <c r="AS91" s="21">
        <v>7.2492621494001904E-3</v>
      </c>
    </row>
    <row r="93" spans="1:120">
      <c r="A93" s="42">
        <v>44670</v>
      </c>
      <c r="B93" s="43" t="s">
        <v>76</v>
      </c>
      <c r="C93" s="43" t="s">
        <v>81</v>
      </c>
      <c r="D93" s="47" t="s">
        <v>29</v>
      </c>
      <c r="E93" s="43" t="s">
        <v>80</v>
      </c>
      <c r="F93" s="48">
        <v>211000</v>
      </c>
      <c r="G93" s="44"/>
      <c r="H93" s="21">
        <v>4.6725399333558702E-2</v>
      </c>
      <c r="I93" s="21">
        <v>1.7339346100472199E-2</v>
      </c>
      <c r="L93" s="43" t="s">
        <v>88</v>
      </c>
      <c r="M93" s="47" t="s">
        <v>29</v>
      </c>
      <c r="N93" s="43" t="s">
        <v>80</v>
      </c>
      <c r="O93" s="52">
        <v>30000</v>
      </c>
      <c r="P93" s="44"/>
      <c r="Q93" s="21">
        <v>6.4234341105536996E-2</v>
      </c>
      <c r="R93" s="21">
        <v>1.2405200261680601E-2</v>
      </c>
      <c r="S93" s="21"/>
      <c r="T93" s="21"/>
      <c r="U93" s="43" t="s">
        <v>89</v>
      </c>
      <c r="V93" s="47" t="s">
        <v>29</v>
      </c>
      <c r="W93" s="43" t="s">
        <v>80</v>
      </c>
      <c r="X93" s="52">
        <v>15000</v>
      </c>
      <c r="Y93" s="44"/>
      <c r="Z93" s="21">
        <v>6.3557723648269102E-2</v>
      </c>
      <c r="AA93" s="21">
        <v>1.62532036183036E-2</v>
      </c>
      <c r="AB93" s="21"/>
      <c r="AC93" s="21"/>
      <c r="AD93" s="43" t="s">
        <v>91</v>
      </c>
      <c r="AE93" s="47" t="s">
        <v>29</v>
      </c>
      <c r="AF93" s="43" t="s">
        <v>80</v>
      </c>
      <c r="AG93" s="52">
        <v>140000</v>
      </c>
      <c r="AH93" s="44"/>
      <c r="AI93" s="21">
        <v>6.8925430830803602E-2</v>
      </c>
      <c r="AJ93" s="21">
        <v>8.6791717006153204E-3</v>
      </c>
      <c r="AK93" s="21"/>
      <c r="AL93" s="21"/>
      <c r="AM93" s="43" t="s">
        <v>92</v>
      </c>
      <c r="AN93" s="47" t="s">
        <v>29</v>
      </c>
      <c r="AO93" s="43" t="s">
        <v>80</v>
      </c>
      <c r="AP93" s="52">
        <v>569000</v>
      </c>
      <c r="AQ93" s="44"/>
      <c r="AR93" s="21">
        <v>7.0106834923424496E-2</v>
      </c>
      <c r="AS93" s="21">
        <v>8.47899950427701E-3</v>
      </c>
    </row>
    <row r="94" spans="1:120">
      <c r="A94" s="42">
        <v>44670</v>
      </c>
      <c r="B94" s="68" t="s">
        <v>77</v>
      </c>
      <c r="C94" s="43" t="s">
        <v>81</v>
      </c>
      <c r="D94" s="47" t="s">
        <v>29</v>
      </c>
      <c r="E94" s="43" t="s">
        <v>80</v>
      </c>
      <c r="F94" s="48">
        <v>150000</v>
      </c>
      <c r="G94" s="44"/>
      <c r="H94" s="21">
        <v>4.5140377501159797E-2</v>
      </c>
      <c r="I94" s="21">
        <v>3.1757118409314201E-2</v>
      </c>
      <c r="L94" s="43" t="s">
        <v>88</v>
      </c>
      <c r="M94" s="47" t="s">
        <v>29</v>
      </c>
      <c r="N94" s="43" t="s">
        <v>80</v>
      </c>
      <c r="O94" s="52">
        <v>30000</v>
      </c>
      <c r="P94" s="44"/>
      <c r="Q94" s="21">
        <v>6.3229824767220499E-2</v>
      </c>
      <c r="R94" s="21">
        <v>1.51327228178024E-2</v>
      </c>
      <c r="S94" s="21"/>
      <c r="T94" s="21"/>
      <c r="U94" s="43" t="s">
        <v>89</v>
      </c>
      <c r="V94" s="47" t="s">
        <v>29</v>
      </c>
      <c r="W94" s="43" t="s">
        <v>80</v>
      </c>
      <c r="X94" s="52">
        <v>9000</v>
      </c>
      <c r="Y94" s="44"/>
      <c r="Z94" s="21">
        <v>6.4039791776516197E-2</v>
      </c>
      <c r="AA94" s="21">
        <v>2.4690570897819699E-2</v>
      </c>
      <c r="AB94" s="21"/>
      <c r="AC94" s="21"/>
      <c r="AD94" s="43" t="s">
        <v>91</v>
      </c>
      <c r="AE94" s="47" t="s">
        <v>29</v>
      </c>
      <c r="AF94" s="43" t="s">
        <v>80</v>
      </c>
      <c r="AG94" s="52">
        <v>210000</v>
      </c>
      <c r="AH94" s="44"/>
      <c r="AI94" s="21">
        <v>7.2111147437749504E-2</v>
      </c>
      <c r="AJ94" s="21">
        <v>1.5240157768632899E-2</v>
      </c>
      <c r="AK94" s="21"/>
      <c r="AL94" s="21"/>
      <c r="AM94" s="43" t="s">
        <v>92</v>
      </c>
      <c r="AN94" s="47" t="s">
        <v>29</v>
      </c>
      <c r="AO94" s="43" t="s">
        <v>80</v>
      </c>
      <c r="AP94" s="52">
        <v>500000</v>
      </c>
      <c r="AQ94" s="44"/>
      <c r="AR94" s="21">
        <v>7.1101498262982399E-2</v>
      </c>
      <c r="AS94" s="21">
        <v>1.01240351284363E-2</v>
      </c>
    </row>
    <row r="95" spans="1:120">
      <c r="A95" s="42">
        <v>44670</v>
      </c>
      <c r="B95" s="43" t="s">
        <v>78</v>
      </c>
      <c r="C95" s="43" t="s">
        <v>81</v>
      </c>
      <c r="D95" s="47" t="s">
        <v>29</v>
      </c>
      <c r="E95" s="43" t="s">
        <v>80</v>
      </c>
      <c r="F95" s="48">
        <v>283000</v>
      </c>
      <c r="G95" s="44"/>
      <c r="H95" s="21">
        <v>4.4216566022317598E-2</v>
      </c>
      <c r="I95" s="21">
        <v>1.6574153914710701E-2</v>
      </c>
      <c r="L95" s="43" t="s">
        <v>88</v>
      </c>
      <c r="M95" s="47" t="s">
        <v>29</v>
      </c>
      <c r="N95" s="43" t="s">
        <v>80</v>
      </c>
      <c r="O95" s="52">
        <v>88000</v>
      </c>
      <c r="P95" s="44"/>
      <c r="Q95" s="21">
        <v>6.2564443357686406E-2</v>
      </c>
      <c r="R95" s="21">
        <v>1.01015111135684E-2</v>
      </c>
      <c r="S95" s="21"/>
      <c r="T95" s="21"/>
      <c r="U95" s="43" t="s">
        <v>89</v>
      </c>
      <c r="V95" s="47" t="s">
        <v>29</v>
      </c>
      <c r="W95" s="43" t="s">
        <v>80</v>
      </c>
      <c r="X95" s="52">
        <v>27000</v>
      </c>
      <c r="Y95" s="44"/>
      <c r="Z95" s="21">
        <v>6.2870409339797095E-2</v>
      </c>
      <c r="AA95" s="21">
        <v>1.23255062556888E-2</v>
      </c>
      <c r="AB95" s="21"/>
      <c r="AC95" s="21"/>
      <c r="AD95" s="43" t="s">
        <v>91</v>
      </c>
      <c r="AE95" s="47" t="s">
        <v>29</v>
      </c>
      <c r="AF95" s="43" t="s">
        <v>80</v>
      </c>
      <c r="AG95" s="52">
        <v>270000</v>
      </c>
      <c r="AH95" s="44"/>
      <c r="AI95" s="21">
        <v>6.9325994514641803E-2</v>
      </c>
      <c r="AJ95" s="21">
        <v>8.5976372282438492E-3</v>
      </c>
      <c r="AK95" s="21"/>
      <c r="AL95" s="21"/>
      <c r="AM95" s="43" t="s">
        <v>92</v>
      </c>
      <c r="AN95" s="47" t="s">
        <v>29</v>
      </c>
      <c r="AO95" s="43" t="s">
        <v>80</v>
      </c>
      <c r="AP95" s="52">
        <v>1000000</v>
      </c>
      <c r="AQ95" s="44"/>
      <c r="AR95" s="21">
        <v>6.9465519241169699E-2</v>
      </c>
      <c r="AS95" s="21">
        <v>8.9148895758855602E-3</v>
      </c>
    </row>
    <row r="96" spans="1:120">
      <c r="A96" s="42">
        <v>44670</v>
      </c>
      <c r="B96" s="68" t="s">
        <v>79</v>
      </c>
      <c r="C96" s="43" t="s">
        <v>81</v>
      </c>
      <c r="D96" s="47" t="s">
        <v>29</v>
      </c>
      <c r="E96" s="43" t="s">
        <v>80</v>
      </c>
      <c r="F96" s="48">
        <v>150000</v>
      </c>
      <c r="G96" s="44"/>
      <c r="H96" s="21">
        <v>4.7018458380369901E-2</v>
      </c>
      <c r="I96" s="21">
        <v>1.9529903240291999E-2</v>
      </c>
      <c r="L96" s="43" t="s">
        <v>88</v>
      </c>
      <c r="M96" s="47" t="s">
        <v>29</v>
      </c>
      <c r="N96" s="43" t="s">
        <v>80</v>
      </c>
      <c r="O96" s="52">
        <v>200000</v>
      </c>
      <c r="P96" s="44"/>
      <c r="Q96" s="21">
        <v>6.0219485479135297E-2</v>
      </c>
      <c r="R96" s="21">
        <v>1.2152570154357599E-2</v>
      </c>
      <c r="S96" s="21"/>
      <c r="T96" s="21"/>
      <c r="U96" s="43" t="s">
        <v>89</v>
      </c>
      <c r="V96" s="47" t="s">
        <v>29</v>
      </c>
      <c r="W96" s="43" t="s">
        <v>80</v>
      </c>
      <c r="X96" s="52">
        <v>60000</v>
      </c>
      <c r="Y96" s="44"/>
      <c r="Z96" s="21">
        <v>5.9440878135275599E-2</v>
      </c>
      <c r="AA96" s="21">
        <v>1.39282391203199E-2</v>
      </c>
      <c r="AB96" s="21"/>
      <c r="AC96" s="21"/>
      <c r="AD96" s="43" t="s">
        <v>91</v>
      </c>
      <c r="AE96" s="47" t="s">
        <v>29</v>
      </c>
      <c r="AF96" s="43" t="s">
        <v>80</v>
      </c>
      <c r="AG96" s="52">
        <v>824000</v>
      </c>
      <c r="AH96" s="44"/>
      <c r="AI96" s="21">
        <v>6.68901094184184E-2</v>
      </c>
      <c r="AJ96" s="21">
        <v>1.28814822398248E-2</v>
      </c>
      <c r="AK96" s="21"/>
      <c r="AL96" s="21"/>
      <c r="AM96" s="43" t="s">
        <v>92</v>
      </c>
      <c r="AN96" s="47" t="s">
        <v>29</v>
      </c>
      <c r="AO96" s="43" t="s">
        <v>80</v>
      </c>
      <c r="AP96" s="52">
        <v>2700000</v>
      </c>
      <c r="AQ96" s="44"/>
      <c r="AR96" s="21">
        <v>6.66200390516892E-2</v>
      </c>
      <c r="AS96" s="21">
        <v>1.20141250268172E-2</v>
      </c>
    </row>
    <row r="97" spans="1:120">
      <c r="A97" s="42">
        <v>44670</v>
      </c>
      <c r="B97" s="43" t="s">
        <v>82</v>
      </c>
      <c r="C97" s="43" t="s">
        <v>81</v>
      </c>
      <c r="D97" s="47" t="s">
        <v>29</v>
      </c>
      <c r="E97" s="43" t="s">
        <v>80</v>
      </c>
      <c r="F97" s="48">
        <v>542000</v>
      </c>
      <c r="G97" s="44"/>
      <c r="H97" s="21">
        <v>4.2783693342432497E-2</v>
      </c>
      <c r="I97" s="21">
        <v>1.6679102642111001E-2</v>
      </c>
      <c r="L97" s="43" t="s">
        <v>88</v>
      </c>
      <c r="M97" s="47" t="s">
        <v>29</v>
      </c>
      <c r="N97" s="43" t="s">
        <v>80</v>
      </c>
      <c r="O97" s="52">
        <v>200000</v>
      </c>
      <c r="P97" s="44"/>
      <c r="Q97" s="21">
        <v>5.9382330856842698E-2</v>
      </c>
      <c r="R97" s="21">
        <v>9.2624485979917407E-3</v>
      </c>
      <c r="S97" s="21"/>
      <c r="T97" s="21"/>
      <c r="U97" s="43" t="s">
        <v>89</v>
      </c>
      <c r="V97" s="47" t="s">
        <v>29</v>
      </c>
      <c r="W97" s="43" t="s">
        <v>80</v>
      </c>
      <c r="X97" s="52">
        <v>70000</v>
      </c>
      <c r="Y97" s="44"/>
      <c r="Z97" s="21">
        <v>6.0701677591695299E-2</v>
      </c>
      <c r="AA97" s="21">
        <v>9.1256472781225204E-3</v>
      </c>
      <c r="AB97" s="21"/>
      <c r="AC97" s="21"/>
      <c r="AD97" s="43" t="s">
        <v>91</v>
      </c>
      <c r="AE97" s="47" t="s">
        <v>29</v>
      </c>
      <c r="AF97" s="43" t="s">
        <v>80</v>
      </c>
      <c r="AG97" s="52">
        <v>714000</v>
      </c>
      <c r="AH97" s="44"/>
      <c r="AI97" s="21">
        <v>6.7247000600252502E-2</v>
      </c>
      <c r="AJ97" s="21">
        <v>9.0668419293206803E-3</v>
      </c>
      <c r="AK97" s="21"/>
      <c r="AL97" s="21"/>
      <c r="AM97" s="43" t="s">
        <v>92</v>
      </c>
      <c r="AN97" s="47" t="s">
        <v>29</v>
      </c>
      <c r="AO97" s="43" t="s">
        <v>80</v>
      </c>
      <c r="AP97" s="52">
        <v>2460000</v>
      </c>
      <c r="AQ97" s="44"/>
      <c r="AR97" s="21">
        <v>6.8394164407253696E-2</v>
      </c>
      <c r="AS97" s="21">
        <v>1.0022438401842E-2</v>
      </c>
    </row>
    <row r="98" spans="1:120">
      <c r="G98" s="65"/>
      <c r="H98" s="63" t="s">
        <v>96</v>
      </c>
      <c r="I98" s="63" t="s">
        <v>100</v>
      </c>
      <c r="J98" s="1"/>
      <c r="K98" s="1"/>
      <c r="P98" s="65"/>
      <c r="Q98" s="63" t="s">
        <v>96</v>
      </c>
      <c r="R98" s="63" t="s">
        <v>100</v>
      </c>
      <c r="Y98" s="65"/>
      <c r="Z98" s="63" t="s">
        <v>96</v>
      </c>
      <c r="AA98" s="63" t="s">
        <v>100</v>
      </c>
      <c r="AH98" s="65"/>
      <c r="AI98" s="63" t="s">
        <v>96</v>
      </c>
      <c r="AJ98" s="63" t="s">
        <v>100</v>
      </c>
      <c r="AQ98" s="65"/>
      <c r="AR98" s="63" t="s">
        <v>96</v>
      </c>
      <c r="AS98" s="63" t="s">
        <v>100</v>
      </c>
    </row>
    <row r="99" spans="1:120">
      <c r="G99" s="65" t="s">
        <v>94</v>
      </c>
      <c r="H99" s="64">
        <f>SUM(H88/I88^2,H90/I90^2,H94/I94^2,H96/I96^2)/SUM(1/I88^2,1/I90^2,1/I94^2,1/I96^2)</f>
        <v>4.7441175931834424E-2</v>
      </c>
      <c r="I99" s="64">
        <f>SQRT(1/SUM(1/I88^2,1/I90^2,1/I94^2,1/I96^2))</f>
        <v>1.2489975118931611E-2</v>
      </c>
      <c r="P99" s="65" t="s">
        <v>94</v>
      </c>
      <c r="Q99" s="64">
        <f>SUM(Q90/R90^2,Q94/R94^2,Q96/R96^2)/SUM(1/R90^2,1/R94^2,1/R96^2)</f>
        <v>6.2596022469955132E-2</v>
      </c>
      <c r="R99" s="64">
        <f>SQRT(1/SUM(1/R90^2,1/R94^2,1/R96^2))</f>
        <v>7.6622390421092193E-3</v>
      </c>
      <c r="Y99" s="65" t="s">
        <v>94</v>
      </c>
      <c r="Z99" s="64">
        <f>SUM(Z90/AA90^2,Z94/AA94^2,Z96/AA96^2)/SUM(1/AA90^2,1/AA94^2,1/AA96^2)</f>
        <v>6.2035821563326439E-2</v>
      </c>
      <c r="AA99" s="64">
        <f>SQRT(1/SUM(1/AA90^2,1/AA94^2,1/AA96^2))</f>
        <v>1.0442440125590766E-2</v>
      </c>
      <c r="AH99" s="65" t="s">
        <v>94</v>
      </c>
      <c r="AI99" s="64">
        <f>SUM(AI88/AJ88^2,AI90/AJ90^2,AI94/AJ94^2,AI96/AJ96^2)/SUM(1/AJ88^2,1/AJ90^2,1/AJ94^2,1/AJ96^2)</f>
        <v>7.0547503423016827E-2</v>
      </c>
      <c r="AJ99" s="64">
        <f>SQRT(1/SUM(1/AJ88^2,1/AJ90^2,1/AJ94^2,1/AJ96^2))</f>
        <v>6.7497971477388317E-3</v>
      </c>
      <c r="AQ99" s="65" t="s">
        <v>94</v>
      </c>
      <c r="AR99" s="64">
        <f>SUM(AR88/AS88^2,AR90/AS90^2,AR94/AS94^2,AR96/AS96^2)/SUM(1/AS88^2,1/AS90^2,1/AS94^2,1/AS96^2)</f>
        <v>7.0946994259343601E-2</v>
      </c>
      <c r="AS99" s="64">
        <f>SQRT(1/SUM(1/AS88^2,1/AS90^2,1/AS94^2,1/AS96^2))</f>
        <v>5.4257973917776654E-3</v>
      </c>
    </row>
    <row r="100" spans="1:120">
      <c r="G100" s="65" t="s">
        <v>101</v>
      </c>
      <c r="H100" s="63">
        <f>H99*H38</f>
        <v>5.1600791107032605E-3</v>
      </c>
      <c r="I100" s="63">
        <f>SQRT(I99^2+I38^2)</f>
        <v>1.3195901953134718E-2</v>
      </c>
      <c r="P100" s="65" t="s">
        <v>101</v>
      </c>
      <c r="Q100" s="63">
        <f>Q99*Q38</f>
        <v>9.5281777498624678E-3</v>
      </c>
      <c r="R100" s="63">
        <f>SQRT(R99^2+R38^2)</f>
        <v>8.4376393264855645E-3</v>
      </c>
      <c r="Y100" s="65" t="s">
        <v>101</v>
      </c>
      <c r="Z100" s="63">
        <f>Z99*Z38</f>
        <v>9.4010423943437695E-3</v>
      </c>
      <c r="AA100" s="63">
        <f>SQRT(AA99^2+AA38^2)</f>
        <v>1.1238815348225002E-2</v>
      </c>
      <c r="AH100" s="65" t="s">
        <v>101</v>
      </c>
      <c r="AI100" s="63">
        <f>AI99*AI38</f>
        <v>1.2044989478698307E-2</v>
      </c>
      <c r="AJ100" s="63">
        <f>SQRT(AJ99^2+AJ38^2)</f>
        <v>7.1025496042129216E-3</v>
      </c>
      <c r="AQ100" s="65" t="s">
        <v>101</v>
      </c>
      <c r="AR100" s="63">
        <f>AR99*AR38</f>
        <v>1.2047156775230166E-2</v>
      </c>
      <c r="AS100" s="63">
        <f>SQRT(AS99^2+AS38^2)</f>
        <v>5.7429831443217994E-3</v>
      </c>
    </row>
    <row r="101" spans="1:120">
      <c r="G101" s="65" t="s">
        <v>95</v>
      </c>
      <c r="H101" s="64">
        <f>SUM(H87/I87^2,H89/I89^2,H91/I91^2,H93/I93^2,H95/I95^2,H97/I97^2)/SUM(1/I87^2,1/I89^2,1/I91^2,1/I93^2,1/I95^2,1/I97^2)</f>
        <v>4.493894860502206E-2</v>
      </c>
      <c r="I101" s="64">
        <f>SQRT(1/SUM(1/I87^2,1/I89^2,1/I91^2,1/I93^2,1/I95^2,1/I97^2))</f>
        <v>7.1890873552242019E-3</v>
      </c>
      <c r="P101" s="65" t="s">
        <v>95</v>
      </c>
      <c r="Q101" s="64">
        <f>SUM(Q91/R91^2,Q93/R93^2,Q95/R95^2,Q97/R97^2)/SUM(1/R91^2,1/R93^2,1/R95^2,1/R97^2)</f>
        <v>6.1707986766258528E-2</v>
      </c>
      <c r="R101" s="64">
        <f>SQRT(1/SUM(1/R91^2,1/R93^2,1/R95^2,1/R97^2))</f>
        <v>5.7301675265726557E-3</v>
      </c>
      <c r="Y101" s="65" t="s">
        <v>95</v>
      </c>
      <c r="Z101" s="64">
        <f>SUM(Z91/AA91^2,Z93/AA93^2,Z95/AA95^2,Z97/AA97^2)/SUM(1/AA91^2,1/AA93^2,1/AA95^2,1/AA97^2)</f>
        <v>6.1824368503826534E-2</v>
      </c>
      <c r="AA101" s="64">
        <f>SQRT(1/SUM(1/AA91^2,1/AA93^2,1/AA95^2,1/AA97^2))</f>
        <v>6.268937428738605E-3</v>
      </c>
      <c r="AH101" s="65" t="s">
        <v>95</v>
      </c>
      <c r="AI101" s="64">
        <f>SUM(AI87/AJ87^2,AI89/AJ89^2,AI91/AJ91^2,AI93/AJ93^2,AI95/AJ95^2,AI97/AJ97^2)/SUM(1/AJ87^2,1/AJ89^2,1/AJ91^2,1/AJ93^2,1/AJ95^2,1/AJ97^2)</f>
        <v>6.889802843281001E-2</v>
      </c>
      <c r="AJ101" s="64">
        <f>SQRT(1/SUM(1/AJ87^2,1/AJ89^2,1/AJ91^2,1/AJ93^2,1/AJ95^2,1/AJ97^2))</f>
        <v>3.825416682318717E-3</v>
      </c>
      <c r="AQ101" s="65" t="s">
        <v>95</v>
      </c>
      <c r="AR101" s="64">
        <f>SUM(AR87/AS87^2,AR89/AS89^2,AR91/AS91^2,AR93/AS93^2,AR95/AS95^2,AR97/AS97^2)/SUM(1/AS87^2,1/AS89^2,1/AS91^2,1/AS93^2,1/AS95^2,1/AS97^2)</f>
        <v>6.9287464896773523E-2</v>
      </c>
      <c r="AS101" s="64">
        <f>SQRT(1/SUM(1/AS87^2,1/AS89^2,1/AS91^2,1/AS93^2,1/AS95^2,1/AS97^2))</f>
        <v>3.4987210335575714E-3</v>
      </c>
    </row>
    <row r="102" spans="1:120">
      <c r="G102" s="65" t="s">
        <v>102</v>
      </c>
      <c r="H102" s="63">
        <f>H101*H39</f>
        <v>4.8707145340142711E-3</v>
      </c>
      <c r="I102" s="63">
        <f>SQRT(I101^2+I39^2)</f>
        <v>7.5739936257743596E-3</v>
      </c>
      <c r="P102" s="65" t="s">
        <v>102</v>
      </c>
      <c r="Q102" s="63">
        <f>Q101*Q39</f>
        <v>9.2811696658676099E-3</v>
      </c>
      <c r="R102" s="63">
        <f>SQRT(R101^2+R39^2)</f>
        <v>6.1320502433458816E-3</v>
      </c>
      <c r="Y102" s="65" t="s">
        <v>102</v>
      </c>
      <c r="Z102" s="63">
        <f>Z101*Z39</f>
        <v>9.2986138770965315E-3</v>
      </c>
      <c r="AA102" s="63">
        <f>SQRT(AA101^2+AA39^2)</f>
        <v>6.4959872709452054E-3</v>
      </c>
      <c r="AH102" s="65" t="s">
        <v>102</v>
      </c>
      <c r="AI102" s="63">
        <f>AI101*AI39</f>
        <v>1.1678463610944361E-2</v>
      </c>
      <c r="AJ102" s="63">
        <f>SQRT(AJ101^2+AJ39^2)</f>
        <v>4.0038833102418224E-3</v>
      </c>
      <c r="AQ102" s="65" t="s">
        <v>102</v>
      </c>
      <c r="AR102" s="63">
        <f>AR101*AR39</f>
        <v>1.174647807793002E-2</v>
      </c>
      <c r="AS102" s="63">
        <f>SQRT(AS101^2+AS39^2)</f>
        <v>3.6292740744984842E-3</v>
      </c>
    </row>
    <row r="103" spans="1:120">
      <c r="G103" s="65" t="s">
        <v>103</v>
      </c>
      <c r="H103" s="64">
        <f>H100/H102</f>
        <v>1.0594090609638962</v>
      </c>
      <c r="I103" s="64">
        <f>SQRT(I100^2+I102^2)</f>
        <v>1.521503229704148E-2</v>
      </c>
      <c r="P103" s="65" t="s">
        <v>103</v>
      </c>
      <c r="Q103" s="64">
        <f>Q100/Q102</f>
        <v>1.0266138959729671</v>
      </c>
      <c r="R103" s="64">
        <f>SQRT(R100^2+R102^2)</f>
        <v>1.0430522402582436E-2</v>
      </c>
      <c r="Y103" s="65" t="s">
        <v>103</v>
      </c>
      <c r="Z103" s="64">
        <f>Z100/Z102</f>
        <v>1.011015460863423</v>
      </c>
      <c r="AA103" s="64">
        <f>SQRT(AA100^2+AA102^2)</f>
        <v>1.2981094755673729E-2</v>
      </c>
      <c r="AH103" s="65" t="s">
        <v>103</v>
      </c>
      <c r="AI103" s="64">
        <f>AI100/AI102</f>
        <v>1.0313847677198276</v>
      </c>
      <c r="AJ103" s="64">
        <f>SQRT(AJ100^2+AJ102^2)</f>
        <v>8.1533608065838797E-3</v>
      </c>
      <c r="AQ103" s="65" t="s">
        <v>103</v>
      </c>
      <c r="AR103" s="64">
        <f>AR100/AR102</f>
        <v>1.0255973488653658</v>
      </c>
      <c r="AS103" s="64">
        <f>SQRT(AS100^2+AS102^2)</f>
        <v>6.7936356764100271E-3</v>
      </c>
    </row>
    <row r="104" spans="1:120">
      <c r="G104" s="65" t="s">
        <v>104</v>
      </c>
      <c r="H104" s="64">
        <f>1000*(H103-1)</f>
        <v>59.409060963896195</v>
      </c>
      <c r="I104" s="64">
        <f>I103*1000</f>
        <v>15.21503229704148</v>
      </c>
      <c r="P104" s="65" t="s">
        <v>104</v>
      </c>
      <c r="Q104" s="64">
        <f>(Q103-1)*1000</f>
        <v>26.61389597296715</v>
      </c>
      <c r="R104" s="64">
        <f>R103*1000</f>
        <v>10.430522402582435</v>
      </c>
      <c r="Y104" s="65" t="s">
        <v>104</v>
      </c>
      <c r="Z104" s="64">
        <f>(Z103-1)*1000</f>
        <v>11.015460863422977</v>
      </c>
      <c r="AA104" s="64">
        <f>AA103*1000</f>
        <v>12.981094755673729</v>
      </c>
      <c r="AH104" s="65" t="s">
        <v>104</v>
      </c>
      <c r="AI104" s="64">
        <f>1000*(AI103-1)</f>
        <v>31.384767719827565</v>
      </c>
      <c r="AJ104" s="64">
        <f>AJ103*1000</f>
        <v>8.1533608065838798</v>
      </c>
      <c r="AQ104" s="65" t="s">
        <v>104</v>
      </c>
      <c r="AR104" s="64">
        <f>1000*(AR103-1)</f>
        <v>25.597348865365799</v>
      </c>
      <c r="AS104" s="64">
        <f>AS103*1000</f>
        <v>6.7936356764100267</v>
      </c>
    </row>
    <row r="106" spans="1:120" ht="29">
      <c r="A106" s="14" t="s">
        <v>70</v>
      </c>
    </row>
    <row r="107" spans="1:120" s="54" customFormat="1">
      <c r="A107" s="59">
        <v>44669</v>
      </c>
      <c r="B107" s="40" t="s">
        <v>71</v>
      </c>
      <c r="C107" s="40" t="s">
        <v>81</v>
      </c>
      <c r="D107" s="46" t="s">
        <v>29</v>
      </c>
      <c r="E107" s="40" t="s">
        <v>80</v>
      </c>
      <c r="F107" s="46" t="s">
        <v>29</v>
      </c>
      <c r="G107" s="41"/>
      <c r="H107" s="21">
        <v>7.2521027941231204E-3</v>
      </c>
      <c r="I107" s="21">
        <v>4.22534492252888E-2</v>
      </c>
      <c r="J107" s="58"/>
      <c r="K107" s="58"/>
      <c r="M107" s="55" t="s">
        <v>29</v>
      </c>
      <c r="N107" s="54" t="s">
        <v>80</v>
      </c>
      <c r="O107" s="55" t="s">
        <v>29</v>
      </c>
      <c r="P107" s="56"/>
      <c r="S107" s="58"/>
      <c r="T107" s="58"/>
      <c r="V107" s="55" t="s">
        <v>29</v>
      </c>
      <c r="W107" s="54" t="s">
        <v>80</v>
      </c>
      <c r="X107" s="55" t="s">
        <v>29</v>
      </c>
      <c r="Y107" s="56"/>
      <c r="AB107" s="58"/>
      <c r="AC107" s="58"/>
      <c r="AD107" s="40" t="s">
        <v>90</v>
      </c>
      <c r="AE107" s="46" t="s">
        <v>29</v>
      </c>
      <c r="AF107" s="40" t="s">
        <v>80</v>
      </c>
      <c r="AG107" s="51">
        <v>76000</v>
      </c>
      <c r="AH107" s="41"/>
      <c r="AI107" s="21">
        <v>1.1466501732700401E-2</v>
      </c>
      <c r="AJ107" s="21">
        <v>2.1013634443211499E-2</v>
      </c>
      <c r="AK107" s="21"/>
      <c r="AL107" s="21"/>
      <c r="AM107" s="40" t="s">
        <v>92</v>
      </c>
      <c r="AN107" s="46" t="s">
        <v>29</v>
      </c>
      <c r="AO107" s="40" t="s">
        <v>80</v>
      </c>
      <c r="AP107" s="51">
        <v>300000</v>
      </c>
      <c r="AQ107" s="41"/>
      <c r="AR107" s="21">
        <v>1.21912164018519E-2</v>
      </c>
      <c r="AS107" s="21">
        <v>2.1125738980495599E-2</v>
      </c>
      <c r="AT107" s="58"/>
      <c r="AU107" s="58"/>
      <c r="AV107" s="58"/>
      <c r="AW107" s="58"/>
      <c r="AX107" s="58"/>
      <c r="AY107" s="58"/>
      <c r="AZ107" s="58"/>
      <c r="BA107" s="58"/>
      <c r="BB107" s="58"/>
      <c r="BC107" s="58"/>
      <c r="BD107" s="58"/>
      <c r="BE107" s="58"/>
      <c r="BF107" s="58"/>
      <c r="BG107" s="58"/>
      <c r="BH107" s="58"/>
      <c r="BI107" s="58"/>
      <c r="BJ107" s="58"/>
      <c r="BK107" s="58"/>
      <c r="BL107" s="58"/>
      <c r="BM107" s="58"/>
      <c r="BN107" s="58"/>
      <c r="BO107" s="58"/>
      <c r="BP107" s="58"/>
      <c r="BQ107" s="58"/>
      <c r="BR107" s="58"/>
      <c r="BS107" s="58"/>
      <c r="BT107" s="58"/>
      <c r="BU107" s="58"/>
      <c r="BV107" s="58"/>
      <c r="BW107" s="58"/>
      <c r="BX107" s="58"/>
      <c r="BY107" s="58"/>
      <c r="BZ107" s="58"/>
      <c r="CA107" s="58"/>
      <c r="CB107" s="58"/>
      <c r="CC107" s="58"/>
      <c r="CD107" s="58"/>
      <c r="CE107" s="58"/>
      <c r="CF107" s="58"/>
      <c r="CG107" s="58"/>
      <c r="CH107" s="58"/>
      <c r="CI107" s="58"/>
      <c r="CJ107" s="58"/>
      <c r="CK107" s="58"/>
      <c r="CL107" s="58"/>
      <c r="CM107" s="58"/>
      <c r="CN107" s="58"/>
      <c r="CO107" s="58"/>
      <c r="CP107" s="58"/>
      <c r="CQ107" s="58"/>
      <c r="CR107" s="58"/>
      <c r="CS107" s="58"/>
      <c r="CT107" s="58"/>
      <c r="CU107" s="58"/>
      <c r="CV107" s="58"/>
      <c r="CW107" s="58"/>
      <c r="CX107" s="58"/>
      <c r="CY107" s="58"/>
      <c r="CZ107" s="58"/>
      <c r="DA107" s="58"/>
      <c r="DB107" s="58"/>
      <c r="DC107" s="58"/>
      <c r="DD107" s="58"/>
      <c r="DE107" s="58"/>
      <c r="DF107" s="58"/>
      <c r="DG107" s="58"/>
      <c r="DH107" s="58"/>
      <c r="DI107" s="58"/>
      <c r="DJ107" s="58"/>
      <c r="DK107" s="58"/>
      <c r="DL107" s="58"/>
      <c r="DM107" s="58"/>
      <c r="DN107" s="58"/>
      <c r="DO107" s="58"/>
      <c r="DP107" s="58"/>
    </row>
    <row r="108" spans="1:120" s="54" customFormat="1">
      <c r="A108" s="59">
        <v>44669</v>
      </c>
      <c r="B108" s="60" t="s">
        <v>72</v>
      </c>
      <c r="C108" s="40" t="s">
        <v>81</v>
      </c>
      <c r="D108" s="46" t="s">
        <v>29</v>
      </c>
      <c r="E108" s="40" t="s">
        <v>80</v>
      </c>
      <c r="F108" s="46" t="s">
        <v>29</v>
      </c>
      <c r="G108" s="41"/>
      <c r="H108" s="21">
        <v>7.1160199108257398E-3</v>
      </c>
      <c r="I108" s="21">
        <v>0.120994955199714</v>
      </c>
      <c r="J108" s="58"/>
      <c r="K108" s="58"/>
      <c r="M108" s="55" t="s">
        <v>29</v>
      </c>
      <c r="N108" s="54" t="s">
        <v>80</v>
      </c>
      <c r="O108" s="55" t="s">
        <v>29</v>
      </c>
      <c r="P108" s="56"/>
      <c r="S108" s="58"/>
      <c r="T108" s="58"/>
      <c r="V108" s="55" t="s">
        <v>29</v>
      </c>
      <c r="W108" s="54" t="s">
        <v>80</v>
      </c>
      <c r="X108" s="55" t="s">
        <v>29</v>
      </c>
      <c r="Y108" s="56"/>
      <c r="AB108" s="58"/>
      <c r="AC108" s="58"/>
      <c r="AD108" s="40" t="s">
        <v>90</v>
      </c>
      <c r="AE108" s="46" t="s">
        <v>29</v>
      </c>
      <c r="AF108" s="40" t="s">
        <v>80</v>
      </c>
      <c r="AG108" s="51">
        <v>40000</v>
      </c>
      <c r="AH108" s="41"/>
      <c r="AI108" s="21">
        <v>1.1937489450985101E-2</v>
      </c>
      <c r="AJ108" s="21">
        <v>3.6390758061982803E-2</v>
      </c>
      <c r="AK108" s="21"/>
      <c r="AL108" s="21"/>
      <c r="AM108" s="40" t="s">
        <v>92</v>
      </c>
      <c r="AN108" s="46" t="s">
        <v>29</v>
      </c>
      <c r="AO108" s="40" t="s">
        <v>80</v>
      </c>
      <c r="AP108" s="51">
        <v>128000</v>
      </c>
      <c r="AQ108" s="41"/>
      <c r="AR108" s="21">
        <v>1.0836169698111501E-2</v>
      </c>
      <c r="AS108" s="21">
        <v>2.8331509794399402E-2</v>
      </c>
      <c r="AT108" s="58"/>
      <c r="AU108" s="58"/>
      <c r="AV108" s="58"/>
      <c r="AW108" s="58"/>
      <c r="AX108" s="58"/>
      <c r="AY108" s="58"/>
      <c r="AZ108" s="58"/>
      <c r="BA108" s="58"/>
      <c r="BB108" s="58"/>
      <c r="BC108" s="58"/>
      <c r="BD108" s="58"/>
      <c r="BE108" s="58"/>
      <c r="BF108" s="58"/>
      <c r="BG108" s="58"/>
      <c r="BH108" s="58"/>
      <c r="BI108" s="58"/>
      <c r="BJ108" s="58"/>
      <c r="BK108" s="58"/>
      <c r="BL108" s="58"/>
      <c r="BM108" s="58"/>
      <c r="BN108" s="58"/>
      <c r="BO108" s="58"/>
      <c r="BP108" s="58"/>
      <c r="BQ108" s="58"/>
      <c r="BR108" s="58"/>
      <c r="BS108" s="58"/>
      <c r="BT108" s="58"/>
      <c r="BU108" s="58"/>
      <c r="BV108" s="58"/>
      <c r="BW108" s="58"/>
      <c r="BX108" s="58"/>
      <c r="BY108" s="58"/>
      <c r="BZ108" s="58"/>
      <c r="CA108" s="58"/>
      <c r="CB108" s="58"/>
      <c r="CC108" s="58"/>
      <c r="CD108" s="58"/>
      <c r="CE108" s="58"/>
      <c r="CF108" s="58"/>
      <c r="CG108" s="58"/>
      <c r="CH108" s="58"/>
      <c r="CI108" s="58"/>
      <c r="CJ108" s="58"/>
      <c r="CK108" s="58"/>
      <c r="CL108" s="58"/>
      <c r="CM108" s="58"/>
      <c r="CN108" s="58"/>
      <c r="CO108" s="58"/>
      <c r="CP108" s="58"/>
      <c r="CQ108" s="58"/>
      <c r="CR108" s="58"/>
      <c r="CS108" s="58"/>
      <c r="CT108" s="58"/>
      <c r="CU108" s="58"/>
      <c r="CV108" s="58"/>
      <c r="CW108" s="58"/>
      <c r="CX108" s="58"/>
      <c r="CY108" s="58"/>
      <c r="CZ108" s="58"/>
      <c r="DA108" s="58"/>
      <c r="DB108" s="58"/>
      <c r="DC108" s="58"/>
      <c r="DD108" s="58"/>
      <c r="DE108" s="58"/>
      <c r="DF108" s="58"/>
      <c r="DG108" s="58"/>
      <c r="DH108" s="58"/>
      <c r="DI108" s="58"/>
      <c r="DJ108" s="58"/>
      <c r="DK108" s="58"/>
      <c r="DL108" s="58"/>
      <c r="DM108" s="58"/>
      <c r="DN108" s="58"/>
      <c r="DO108" s="58"/>
      <c r="DP108" s="58"/>
    </row>
    <row r="109" spans="1:120" s="54" customFormat="1">
      <c r="A109" s="59">
        <v>44669</v>
      </c>
      <c r="B109" s="40" t="s">
        <v>73</v>
      </c>
      <c r="C109" s="40" t="s">
        <v>81</v>
      </c>
      <c r="D109" s="46" t="s">
        <v>29</v>
      </c>
      <c r="E109" s="40" t="s">
        <v>80</v>
      </c>
      <c r="F109" s="46" t="s">
        <v>29</v>
      </c>
      <c r="G109" s="41"/>
      <c r="H109" s="21">
        <v>8.1922948203845599E-3</v>
      </c>
      <c r="I109" s="21">
        <v>4.7570368401903401E-2</v>
      </c>
      <c r="J109" s="58"/>
      <c r="K109" s="58"/>
      <c r="M109" s="55" t="s">
        <v>29</v>
      </c>
      <c r="N109" s="54" t="s">
        <v>80</v>
      </c>
      <c r="O109" s="55" t="s">
        <v>29</v>
      </c>
      <c r="P109" s="56"/>
      <c r="S109" s="58"/>
      <c r="T109" s="58"/>
      <c r="V109" s="55" t="s">
        <v>29</v>
      </c>
      <c r="W109" s="54" t="s">
        <v>80</v>
      </c>
      <c r="X109" s="55" t="s">
        <v>29</v>
      </c>
      <c r="Y109" s="56"/>
      <c r="AB109" s="58"/>
      <c r="AC109" s="58"/>
      <c r="AD109" s="40" t="s">
        <v>90</v>
      </c>
      <c r="AE109" s="46" t="s">
        <v>29</v>
      </c>
      <c r="AF109" s="40" t="s">
        <v>80</v>
      </c>
      <c r="AG109" s="51">
        <v>28600</v>
      </c>
      <c r="AH109" s="41"/>
      <c r="AI109" s="21">
        <v>1.24624602974339E-2</v>
      </c>
      <c r="AJ109" s="21">
        <v>3.1694918275369598E-2</v>
      </c>
      <c r="AK109" s="21"/>
      <c r="AL109" s="21"/>
      <c r="AM109" s="40" t="s">
        <v>92</v>
      </c>
      <c r="AN109" s="46" t="s">
        <v>29</v>
      </c>
      <c r="AO109" s="40" t="s">
        <v>80</v>
      </c>
      <c r="AP109" s="51">
        <v>140000</v>
      </c>
      <c r="AQ109" s="41"/>
      <c r="AR109" s="21">
        <v>1.26345012506232E-2</v>
      </c>
      <c r="AS109" s="21">
        <v>1.9302225703960198E-2</v>
      </c>
      <c r="AT109" s="58"/>
      <c r="AU109" s="58"/>
      <c r="AV109" s="58"/>
      <c r="AW109" s="58"/>
      <c r="AX109" s="58"/>
      <c r="AY109" s="58"/>
      <c r="AZ109" s="58"/>
      <c r="BA109" s="58"/>
      <c r="BB109" s="58"/>
      <c r="BC109" s="58"/>
      <c r="BD109" s="58"/>
      <c r="BE109" s="58"/>
      <c r="BF109" s="58"/>
      <c r="BG109" s="58"/>
      <c r="BH109" s="58"/>
      <c r="BI109" s="58"/>
      <c r="BJ109" s="58"/>
      <c r="BK109" s="58"/>
      <c r="BL109" s="58"/>
      <c r="BM109" s="58"/>
      <c r="BN109" s="58"/>
      <c r="BO109" s="58"/>
      <c r="BP109" s="58"/>
      <c r="BQ109" s="58"/>
      <c r="BR109" s="58"/>
      <c r="BS109" s="58"/>
      <c r="BT109" s="58"/>
      <c r="BU109" s="58"/>
      <c r="BV109" s="58"/>
      <c r="BW109" s="58"/>
      <c r="BX109" s="58"/>
      <c r="BY109" s="58"/>
      <c r="BZ109" s="58"/>
      <c r="CA109" s="58"/>
      <c r="CB109" s="58"/>
      <c r="CC109" s="58"/>
      <c r="CD109" s="58"/>
      <c r="CE109" s="58"/>
      <c r="CF109" s="58"/>
      <c r="CG109" s="58"/>
      <c r="CH109" s="58"/>
      <c r="CI109" s="58"/>
      <c r="CJ109" s="58"/>
      <c r="CK109" s="58"/>
      <c r="CL109" s="58"/>
      <c r="CM109" s="58"/>
      <c r="CN109" s="58"/>
      <c r="CO109" s="58"/>
      <c r="CP109" s="58"/>
      <c r="CQ109" s="58"/>
      <c r="CR109" s="58"/>
      <c r="CS109" s="58"/>
      <c r="CT109" s="58"/>
      <c r="CU109" s="58"/>
      <c r="CV109" s="58"/>
      <c r="CW109" s="58"/>
      <c r="CX109" s="58"/>
      <c r="CY109" s="58"/>
      <c r="CZ109" s="58"/>
      <c r="DA109" s="58"/>
      <c r="DB109" s="58"/>
      <c r="DC109" s="58"/>
      <c r="DD109" s="58"/>
      <c r="DE109" s="58"/>
      <c r="DF109" s="58"/>
      <c r="DG109" s="58"/>
      <c r="DH109" s="58"/>
      <c r="DI109" s="58"/>
      <c r="DJ109" s="58"/>
      <c r="DK109" s="58"/>
      <c r="DL109" s="58"/>
      <c r="DM109" s="58"/>
      <c r="DN109" s="58"/>
      <c r="DO109" s="58"/>
      <c r="DP109" s="58"/>
    </row>
    <row r="110" spans="1:120">
      <c r="A110" s="59">
        <v>44669</v>
      </c>
      <c r="B110" s="60" t="s">
        <v>74</v>
      </c>
      <c r="C110" s="40" t="s">
        <v>81</v>
      </c>
      <c r="D110" s="46" t="s">
        <v>29</v>
      </c>
      <c r="E110" s="40" t="s">
        <v>80</v>
      </c>
      <c r="F110" s="46" t="s">
        <v>29</v>
      </c>
      <c r="G110" s="41"/>
      <c r="H110" s="21">
        <v>7.2614073627228701E-3</v>
      </c>
      <c r="I110" s="21">
        <v>5.2343759544617799E-2</v>
      </c>
      <c r="L110" s="40" t="s">
        <v>86</v>
      </c>
      <c r="M110" s="46" t="s">
        <v>29</v>
      </c>
      <c r="N110" s="40" t="s">
        <v>80</v>
      </c>
      <c r="O110" s="46" t="s">
        <v>29</v>
      </c>
      <c r="P110" s="41"/>
      <c r="Q110" s="21">
        <v>4.5426708571304703E-3</v>
      </c>
      <c r="R110" s="21">
        <v>4.7799219782225302E-2</v>
      </c>
      <c r="S110" s="21"/>
      <c r="T110" s="21"/>
      <c r="U110" s="40" t="s">
        <v>87</v>
      </c>
      <c r="V110" s="46" t="s">
        <v>29</v>
      </c>
      <c r="W110" s="40" t="s">
        <v>80</v>
      </c>
      <c r="X110" s="46" t="s">
        <v>29</v>
      </c>
      <c r="Y110" s="41"/>
      <c r="Z110" s="21">
        <v>4.42598231207335E-3</v>
      </c>
      <c r="AA110" s="21">
        <v>7.7062885814691506E-2</v>
      </c>
      <c r="AB110" s="21"/>
      <c r="AC110" s="21"/>
      <c r="AD110" s="40" t="s">
        <v>90</v>
      </c>
      <c r="AE110" s="46" t="s">
        <v>29</v>
      </c>
      <c r="AF110" s="40" t="s">
        <v>80</v>
      </c>
      <c r="AG110" s="51">
        <v>270000</v>
      </c>
      <c r="AH110" s="41"/>
      <c r="AI110" s="21">
        <v>1.1937489450985101E-2</v>
      </c>
      <c r="AJ110" s="21">
        <v>3.6390758061982803E-2</v>
      </c>
      <c r="AK110" s="21"/>
      <c r="AL110" s="21"/>
      <c r="AM110" s="40" t="s">
        <v>92</v>
      </c>
      <c r="AN110" s="46" t="s">
        <v>29</v>
      </c>
      <c r="AO110" s="40" t="s">
        <v>80</v>
      </c>
      <c r="AP110" s="51">
        <v>750000</v>
      </c>
      <c r="AQ110" s="41"/>
      <c r="AR110" s="21">
        <v>1.2885570324866801E-2</v>
      </c>
      <c r="AS110" s="21">
        <v>2.3767179063246598E-2</v>
      </c>
    </row>
    <row r="111" spans="1:120">
      <c r="A111" s="59">
        <v>44669</v>
      </c>
      <c r="B111" s="40" t="s">
        <v>75</v>
      </c>
      <c r="C111" s="40" t="s">
        <v>81</v>
      </c>
      <c r="D111" s="46" t="s">
        <v>29</v>
      </c>
      <c r="E111" s="40" t="s">
        <v>80</v>
      </c>
      <c r="F111" s="46" t="s">
        <v>29</v>
      </c>
      <c r="G111" s="41"/>
      <c r="H111" s="21">
        <v>6.9789526609321303E-3</v>
      </c>
      <c r="I111" s="21">
        <v>4.5403921237506903E-2</v>
      </c>
      <c r="L111" s="40" t="s">
        <v>86</v>
      </c>
      <c r="M111" s="46" t="s">
        <v>29</v>
      </c>
      <c r="N111" s="40" t="s">
        <v>80</v>
      </c>
      <c r="O111" s="46" t="s">
        <v>29</v>
      </c>
      <c r="P111" s="41"/>
      <c r="Q111" s="21">
        <v>8.0795286563066903E-3</v>
      </c>
      <c r="R111" s="21">
        <v>5.4220280307462398E-2</v>
      </c>
      <c r="S111" s="21"/>
      <c r="T111" s="21"/>
      <c r="U111" s="40" t="s">
        <v>87</v>
      </c>
      <c r="V111" s="46" t="s">
        <v>29</v>
      </c>
      <c r="W111" s="40" t="s">
        <v>80</v>
      </c>
      <c r="X111" s="46" t="s">
        <v>29</v>
      </c>
      <c r="Y111" s="41"/>
      <c r="Z111" s="21">
        <v>8.4364946564328205E-3</v>
      </c>
      <c r="AA111" s="21">
        <v>4.7620912223693801E-2</v>
      </c>
      <c r="AB111" s="21"/>
      <c r="AC111" s="21"/>
      <c r="AD111" s="40" t="s">
        <v>90</v>
      </c>
      <c r="AE111" s="46" t="s">
        <v>29</v>
      </c>
      <c r="AF111" s="40" t="s">
        <v>80</v>
      </c>
      <c r="AG111" s="51">
        <v>57000</v>
      </c>
      <c r="AH111" s="41"/>
      <c r="AI111" s="21">
        <v>1.2889705434265999E-2</v>
      </c>
      <c r="AJ111" s="21">
        <v>2.1368482730912599E-2</v>
      </c>
      <c r="AK111" s="21"/>
      <c r="AL111" s="21"/>
      <c r="AM111" s="40" t="s">
        <v>92</v>
      </c>
      <c r="AN111" s="46" t="s">
        <v>29</v>
      </c>
      <c r="AO111" s="40" t="s">
        <v>80</v>
      </c>
      <c r="AP111" s="51">
        <v>250000</v>
      </c>
      <c r="AQ111" s="41"/>
      <c r="AR111" s="21">
        <v>1.2417431861229299E-2</v>
      </c>
      <c r="AS111" s="21">
        <v>1.65354944324217E-2</v>
      </c>
    </row>
    <row r="113" spans="1:45">
      <c r="A113" s="42">
        <v>44670</v>
      </c>
      <c r="B113" s="43" t="s">
        <v>76</v>
      </c>
      <c r="C113" s="43" t="s">
        <v>81</v>
      </c>
      <c r="D113" s="47" t="s">
        <v>29</v>
      </c>
      <c r="E113" s="43" t="s">
        <v>80</v>
      </c>
      <c r="F113" s="47" t="s">
        <v>29</v>
      </c>
      <c r="G113" s="44"/>
      <c r="H113" s="21">
        <v>7.6938971456556801E-3</v>
      </c>
      <c r="I113" s="21">
        <v>4.1926052224909999E-2</v>
      </c>
      <c r="L113" s="43" t="s">
        <v>88</v>
      </c>
      <c r="M113" s="47" t="s">
        <v>29</v>
      </c>
      <c r="N113" s="43" t="s">
        <v>80</v>
      </c>
      <c r="O113" s="47" t="s">
        <v>29</v>
      </c>
      <c r="P113" s="44"/>
      <c r="Q113" s="21">
        <v>8.2802756318233993E-3</v>
      </c>
      <c r="R113" s="21">
        <v>3.3630786263231897E-2</v>
      </c>
      <c r="S113" s="21"/>
      <c r="T113" s="21"/>
      <c r="U113" s="43" t="s">
        <v>89</v>
      </c>
      <c r="V113" s="47" t="s">
        <v>29</v>
      </c>
      <c r="W113" s="43" t="s">
        <v>80</v>
      </c>
      <c r="X113" s="47" t="s">
        <v>29</v>
      </c>
      <c r="Y113" s="44"/>
      <c r="Z113" s="21">
        <v>8.6765514744291897E-3</v>
      </c>
      <c r="AA113" s="21">
        <v>4.2839559755963E-2</v>
      </c>
      <c r="AB113" s="21"/>
      <c r="AC113" s="21"/>
      <c r="AD113" s="43" t="s">
        <v>91</v>
      </c>
      <c r="AE113" s="47" t="s">
        <v>29</v>
      </c>
      <c r="AF113" s="43" t="s">
        <v>80</v>
      </c>
      <c r="AG113" s="52">
        <v>140000</v>
      </c>
      <c r="AH113" s="44"/>
      <c r="AI113" s="21">
        <v>1.15598424925563E-2</v>
      </c>
      <c r="AJ113" s="21">
        <v>2.06164626613498E-2</v>
      </c>
      <c r="AK113" s="21"/>
      <c r="AL113" s="21"/>
      <c r="AM113" s="43" t="s">
        <v>92</v>
      </c>
      <c r="AN113" s="47" t="s">
        <v>29</v>
      </c>
      <c r="AO113" s="43" t="s">
        <v>80</v>
      </c>
      <c r="AP113" s="52">
        <v>569000</v>
      </c>
      <c r="AQ113" s="44"/>
      <c r="AR113" s="21">
        <v>1.24605285374184E-2</v>
      </c>
      <c r="AS113" s="21">
        <v>1.95628461570737E-2</v>
      </c>
    </row>
    <row r="114" spans="1:45">
      <c r="A114" s="42">
        <v>44670</v>
      </c>
      <c r="B114" s="68" t="s">
        <v>77</v>
      </c>
      <c r="C114" s="43" t="s">
        <v>81</v>
      </c>
      <c r="D114" s="47" t="s">
        <v>29</v>
      </c>
      <c r="E114" s="43" t="s">
        <v>80</v>
      </c>
      <c r="F114" s="47" t="s">
        <v>29</v>
      </c>
      <c r="G114" s="44"/>
      <c r="H114" s="21">
        <v>7.2606014125895296E-3</v>
      </c>
      <c r="I114" s="21">
        <v>7.7735785990514394E-2</v>
      </c>
      <c r="L114" s="43" t="s">
        <v>88</v>
      </c>
      <c r="M114" s="47" t="s">
        <v>29</v>
      </c>
      <c r="N114" s="43" t="s">
        <v>80</v>
      </c>
      <c r="O114" s="47" t="s">
        <v>29</v>
      </c>
      <c r="P114" s="44"/>
      <c r="Q114" s="21">
        <v>4.9973659619981696E-3</v>
      </c>
      <c r="R114" s="21">
        <v>5.2333089676473502E-2</v>
      </c>
      <c r="S114" s="21"/>
      <c r="T114" s="21"/>
      <c r="U114" s="43" t="s">
        <v>89</v>
      </c>
      <c r="V114" s="47" t="s">
        <v>29</v>
      </c>
      <c r="W114" s="43" t="s">
        <v>80</v>
      </c>
      <c r="X114" s="47" t="s">
        <v>29</v>
      </c>
      <c r="Y114" s="44"/>
      <c r="Z114" s="21">
        <v>4.1364313688057397E-3</v>
      </c>
      <c r="AA114" s="21">
        <v>9.4375790696867898E-2</v>
      </c>
      <c r="AB114" s="21"/>
      <c r="AC114" s="21"/>
      <c r="AD114" s="43" t="s">
        <v>91</v>
      </c>
      <c r="AE114" s="47" t="s">
        <v>29</v>
      </c>
      <c r="AF114" s="43" t="s">
        <v>80</v>
      </c>
      <c r="AG114" s="52">
        <v>210000</v>
      </c>
      <c r="AH114" s="44"/>
      <c r="AI114" s="21">
        <v>1.15880988135902E-2</v>
      </c>
      <c r="AJ114" s="21">
        <v>2.8687506131712399E-2</v>
      </c>
      <c r="AK114" s="21"/>
      <c r="AL114" s="21"/>
      <c r="AM114" s="43" t="s">
        <v>92</v>
      </c>
      <c r="AN114" s="47" t="s">
        <v>29</v>
      </c>
      <c r="AO114" s="43" t="s">
        <v>80</v>
      </c>
      <c r="AP114" s="52">
        <v>500000</v>
      </c>
      <c r="AQ114" s="44"/>
      <c r="AR114" s="21">
        <v>1.0986851259893E-2</v>
      </c>
      <c r="AS114" s="21">
        <v>2.5021528568479501E-2</v>
      </c>
    </row>
    <row r="115" spans="1:45">
      <c r="A115" s="42">
        <v>44670</v>
      </c>
      <c r="B115" s="43" t="s">
        <v>78</v>
      </c>
      <c r="C115" s="43" t="s">
        <v>81</v>
      </c>
      <c r="D115" s="47" t="s">
        <v>29</v>
      </c>
      <c r="E115" s="43" t="s">
        <v>80</v>
      </c>
      <c r="F115" s="47" t="s">
        <v>29</v>
      </c>
      <c r="G115" s="44"/>
      <c r="H115" s="21">
        <v>7.06432673439114E-3</v>
      </c>
      <c r="I115" s="21">
        <v>4.0721315643450398E-2</v>
      </c>
      <c r="L115" s="43" t="s">
        <v>88</v>
      </c>
      <c r="M115" s="47" t="s">
        <v>29</v>
      </c>
      <c r="N115" s="43" t="s">
        <v>80</v>
      </c>
      <c r="O115" s="47" t="s">
        <v>29</v>
      </c>
      <c r="P115" s="44"/>
      <c r="Q115" s="21">
        <v>7.9406834288239699E-3</v>
      </c>
      <c r="R115" s="21">
        <v>2.7616017246509899E-2</v>
      </c>
      <c r="S115" s="21"/>
      <c r="T115" s="21"/>
      <c r="U115" s="43" t="s">
        <v>89</v>
      </c>
      <c r="V115" s="47" t="s">
        <v>29</v>
      </c>
      <c r="W115" s="43" t="s">
        <v>80</v>
      </c>
      <c r="X115" s="47" t="s">
        <v>29</v>
      </c>
      <c r="Y115" s="44"/>
      <c r="Z115" s="21">
        <v>8.7691799296644498E-3</v>
      </c>
      <c r="AA115" s="21">
        <v>3.21517165349125E-2</v>
      </c>
      <c r="AB115" s="21"/>
      <c r="AC115" s="21"/>
      <c r="AD115" s="43" t="s">
        <v>91</v>
      </c>
      <c r="AE115" s="47" t="s">
        <v>29</v>
      </c>
      <c r="AF115" s="43" t="s">
        <v>80</v>
      </c>
      <c r="AG115" s="52">
        <v>270000</v>
      </c>
      <c r="AH115" s="44"/>
      <c r="AI115" s="21">
        <v>1.20117899028778E-2</v>
      </c>
      <c r="AJ115" s="21">
        <v>2.0093751674147699E-2</v>
      </c>
      <c r="AK115" s="21"/>
      <c r="AL115" s="21"/>
      <c r="AM115" s="43" t="s">
        <v>92</v>
      </c>
      <c r="AN115" s="47" t="s">
        <v>29</v>
      </c>
      <c r="AO115" s="43" t="s">
        <v>80</v>
      </c>
      <c r="AP115" s="52">
        <v>1000000</v>
      </c>
      <c r="AQ115" s="44"/>
      <c r="AR115" s="21">
        <v>1.2369462073775201E-2</v>
      </c>
      <c r="AS115" s="21">
        <v>2.0554708838889199E-2</v>
      </c>
    </row>
    <row r="116" spans="1:45">
      <c r="A116" s="42">
        <v>44670</v>
      </c>
      <c r="B116" s="68" t="s">
        <v>79</v>
      </c>
      <c r="C116" s="43" t="s">
        <v>81</v>
      </c>
      <c r="D116" s="47" t="s">
        <v>29</v>
      </c>
      <c r="E116" s="43" t="s">
        <v>80</v>
      </c>
      <c r="F116" s="47" t="s">
        <v>29</v>
      </c>
      <c r="G116" s="44"/>
      <c r="H116" s="21">
        <v>8.2853032174349407E-3</v>
      </c>
      <c r="I116" s="21">
        <v>4.56556605257597E-2</v>
      </c>
      <c r="L116" s="43" t="s">
        <v>88</v>
      </c>
      <c r="M116" s="47" t="s">
        <v>29</v>
      </c>
      <c r="N116" s="43" t="s">
        <v>80</v>
      </c>
      <c r="O116" s="47" t="s">
        <v>29</v>
      </c>
      <c r="P116" s="44"/>
      <c r="Q116" s="21">
        <v>5.2323981100175698E-3</v>
      </c>
      <c r="R116" s="21">
        <v>4.0144089739005399E-2</v>
      </c>
      <c r="S116" s="21"/>
      <c r="T116" s="21"/>
      <c r="U116" s="43" t="s">
        <v>89</v>
      </c>
      <c r="V116" s="47" t="s">
        <v>29</v>
      </c>
      <c r="W116" s="43" t="s">
        <v>80</v>
      </c>
      <c r="X116" s="47" t="s">
        <v>29</v>
      </c>
      <c r="Y116" s="44"/>
      <c r="Z116" s="21">
        <v>4.6785409181953896E-3</v>
      </c>
      <c r="AA116" s="21">
        <v>4.8345806172400897E-2</v>
      </c>
      <c r="AB116" s="21"/>
      <c r="AC116" s="21"/>
      <c r="AD116" s="43" t="s">
        <v>91</v>
      </c>
      <c r="AE116" s="47" t="s">
        <v>29</v>
      </c>
      <c r="AF116" s="43" t="s">
        <v>80</v>
      </c>
      <c r="AG116" s="52">
        <v>824000</v>
      </c>
      <c r="AH116" s="44"/>
      <c r="AI116" s="21">
        <v>1.0800418248095099E-2</v>
      </c>
      <c r="AJ116" s="21">
        <v>3.1203216703961801E-2</v>
      </c>
      <c r="AK116" s="21"/>
      <c r="AL116" s="21"/>
      <c r="AM116" s="43" t="s">
        <v>92</v>
      </c>
      <c r="AN116" s="47" t="s">
        <v>29</v>
      </c>
      <c r="AO116" s="43" t="s">
        <v>80</v>
      </c>
      <c r="AP116" s="52">
        <v>2700000</v>
      </c>
      <c r="AQ116" s="44"/>
      <c r="AR116" s="21">
        <v>1.41763472399295E-2</v>
      </c>
      <c r="AS116" s="21">
        <v>2.5395939682593901E-2</v>
      </c>
    </row>
    <row r="117" spans="1:45">
      <c r="A117" s="42">
        <v>44670</v>
      </c>
      <c r="B117" s="43" t="s">
        <v>82</v>
      </c>
      <c r="C117" s="43" t="s">
        <v>81</v>
      </c>
      <c r="D117" s="47" t="s">
        <v>29</v>
      </c>
      <c r="E117" s="43" t="s">
        <v>80</v>
      </c>
      <c r="F117" s="47" t="s">
        <v>29</v>
      </c>
      <c r="G117" s="44"/>
      <c r="H117" s="21">
        <v>7.0949340457837603E-3</v>
      </c>
      <c r="I117" s="21">
        <v>4.02509121323473E-2</v>
      </c>
      <c r="L117" s="43" t="s">
        <v>88</v>
      </c>
      <c r="M117" s="47" t="s">
        <v>29</v>
      </c>
      <c r="N117" s="43" t="s">
        <v>80</v>
      </c>
      <c r="O117" s="47" t="s">
        <v>29</v>
      </c>
      <c r="P117" s="44"/>
      <c r="Q117" s="21">
        <v>8.64800548610648E-3</v>
      </c>
      <c r="R117" s="21">
        <v>2.36831740840148E-2</v>
      </c>
      <c r="S117" s="21"/>
      <c r="T117" s="21"/>
      <c r="U117" s="43" t="s">
        <v>89</v>
      </c>
      <c r="V117" s="47" t="s">
        <v>29</v>
      </c>
      <c r="W117" s="43" t="s">
        <v>80</v>
      </c>
      <c r="X117" s="47" t="s">
        <v>29</v>
      </c>
      <c r="Y117" s="44"/>
      <c r="Z117" s="21">
        <v>8.9137462216216795E-3</v>
      </c>
      <c r="AA117" s="21">
        <v>2.3225457867913801E-2</v>
      </c>
      <c r="AB117" s="21"/>
      <c r="AC117" s="21"/>
      <c r="AD117" s="43" t="s">
        <v>91</v>
      </c>
      <c r="AE117" s="47" t="s">
        <v>29</v>
      </c>
      <c r="AF117" s="43" t="s">
        <v>80</v>
      </c>
      <c r="AG117" s="52">
        <v>714000</v>
      </c>
      <c r="AH117" s="44"/>
      <c r="AI117" s="21">
        <v>1.23547149033769E-2</v>
      </c>
      <c r="AJ117" s="21">
        <v>2.06020303655771E-2</v>
      </c>
      <c r="AK117" s="21"/>
      <c r="AL117" s="21"/>
      <c r="AM117" s="43" t="s">
        <v>92</v>
      </c>
      <c r="AN117" s="47" t="s">
        <v>29</v>
      </c>
      <c r="AO117" s="43" t="s">
        <v>80</v>
      </c>
      <c r="AP117" s="52">
        <v>2460000</v>
      </c>
      <c r="AQ117" s="44"/>
      <c r="AR117" s="21">
        <v>1.1582022692250799E-2</v>
      </c>
      <c r="AS117" s="21">
        <v>2.36987539371998E-2</v>
      </c>
    </row>
    <row r="118" spans="1:45">
      <c r="G118" s="65"/>
      <c r="H118" s="63" t="s">
        <v>96</v>
      </c>
      <c r="I118" s="63" t="s">
        <v>100</v>
      </c>
      <c r="P118" s="65"/>
      <c r="Q118" s="63" t="s">
        <v>96</v>
      </c>
      <c r="R118" s="63" t="s">
        <v>100</v>
      </c>
      <c r="U118" t="s">
        <v>93</v>
      </c>
      <c r="Y118" s="65"/>
      <c r="Z118" s="63" t="s">
        <v>96</v>
      </c>
      <c r="AA118" s="63" t="s">
        <v>100</v>
      </c>
      <c r="AH118" s="65"/>
      <c r="AI118" s="63" t="s">
        <v>96</v>
      </c>
      <c r="AJ118" s="63" t="s">
        <v>100</v>
      </c>
      <c r="AQ118" s="65"/>
      <c r="AR118" s="63" t="s">
        <v>96</v>
      </c>
      <c r="AS118" s="63" t="s">
        <v>100</v>
      </c>
    </row>
    <row r="119" spans="1:45">
      <c r="G119" s="65" t="s">
        <v>94</v>
      </c>
      <c r="H119" s="64">
        <f>SUM(H108/I108^2,H110/I110^2,H114/I114^2,H116/I116^2)/SUM(1/I108^2,1/I110^2,1/I114^2,1/I116^2)</f>
        <v>7.7075240299307101E-3</v>
      </c>
      <c r="I119" s="64">
        <f>SQRT(1/SUM(1/I108^2,1/I110^2,1/I114^2,1/I116^2))</f>
        <v>3.044992950998536E-2</v>
      </c>
      <c r="P119" s="65" t="s">
        <v>94</v>
      </c>
      <c r="Q119" s="64">
        <f>SUM(Q110/R110^2,Q114/R114^2,Q116/R116^2)/SUM(1/R110^2,1/R114^2,1/R116^2)</f>
        <v>4.9600105087898045E-3</v>
      </c>
      <c r="R119" s="64">
        <f>SQRT(1/SUM(1/R110^2,1/R114^2,1/R116^2))</f>
        <v>2.6506156573916174E-2</v>
      </c>
      <c r="Y119" s="65" t="s">
        <v>94</v>
      </c>
      <c r="Z119" s="64">
        <f>SUM(Z110/AA110^2,Z114/AA114^2,Z116/AA116^2)/SUM(1/AA110^2,1/AA114^2,1/AA116^2)</f>
        <v>4.5326099374433243E-3</v>
      </c>
      <c r="AA119" s="64">
        <f>SQRT(1/SUM(1/AA110^2,1/AA114^2,1/AA116^2))</f>
        <v>3.7568978634956028E-2</v>
      </c>
      <c r="AH119" s="65" t="s">
        <v>94</v>
      </c>
      <c r="AI119" s="64">
        <f>SUM(AI108/AJ108^2,AI110/AJ110^2,AI114/AJ114^2,AI116/AJ116^2)/SUM(1/AJ108^2,1/AJ110^2,1/AJ114^2,1/AJ116^2)</f>
        <v>1.1513123469295347E-2</v>
      </c>
      <c r="AJ119" s="64">
        <f>SQRT(1/SUM(1/AJ108^2,1/AJ110^2,1/AJ114^2,1/AJ116^2))</f>
        <v>1.6324652198729792E-2</v>
      </c>
      <c r="AQ119" s="65" t="s">
        <v>94</v>
      </c>
      <c r="AR119" s="64">
        <f>SUM(AR108/AS108^2,AR110/AS110^2,AR114/AS114^2,AR116/AS116^2)/SUM(1/AS108^2,1/AS110^2,1/AS114^2,1/AS116^2)</f>
        <v>1.2304021639763232E-2</v>
      </c>
      <c r="AS119" s="64">
        <f>SQRT(1/SUM(1/AS108^2,1/AS110^2,1/AS114^2,1/AS116^2))</f>
        <v>1.2737176245765468E-2</v>
      </c>
    </row>
    <row r="120" spans="1:45">
      <c r="G120" s="65" t="s">
        <v>101</v>
      </c>
      <c r="H120" s="63">
        <f>H119*H38</f>
        <v>8.3833153291213152E-4</v>
      </c>
      <c r="I120" s="63">
        <f>SQRT(I119^2+I18^2)</f>
        <v>3.1340571413846996E-2</v>
      </c>
      <c r="P120" s="65" t="s">
        <v>101</v>
      </c>
      <c r="Q120" s="63">
        <f>Q119*Q18</f>
        <v>7.5600732434791219E-4</v>
      </c>
      <c r="R120" s="63">
        <f>SQRT(R119^2+R18^2)</f>
        <v>2.6892436368437331E-2</v>
      </c>
      <c r="Y120" s="65" t="s">
        <v>101</v>
      </c>
      <c r="Z120" s="63">
        <f>Z119*Z18</f>
        <v>6.8796200877290913E-4</v>
      </c>
      <c r="AA120" s="63">
        <f>SQRT(AA119^2+AA18^2)</f>
        <v>3.7840020010429222E-2</v>
      </c>
      <c r="AH120" s="65" t="s">
        <v>101</v>
      </c>
      <c r="AI120" s="63">
        <f>AI119*AI38</f>
        <v>1.965703169155278E-3</v>
      </c>
      <c r="AJ120" s="63">
        <f>SQRT(AJ119^2+AJ18^2)</f>
        <v>1.6571630411098694E-2</v>
      </c>
      <c r="AQ120" s="65" t="s">
        <v>101</v>
      </c>
      <c r="AR120" s="63">
        <f>AR119*AR38</f>
        <v>2.0892848133665753E-3</v>
      </c>
      <c r="AS120" s="63">
        <f>SQRT(AS119^2+AS18^2)</f>
        <v>1.3007761106122596E-2</v>
      </c>
    </row>
    <row r="121" spans="1:45">
      <c r="G121" s="65" t="s">
        <v>95</v>
      </c>
      <c r="H121" s="64">
        <f>SUM(H107/I107^2,H109/I109^2,H111/I111^2,H113/I113^2,H115/I115^2,H117/I117^2)/SUM(1/I107^2,1/I109^2,1/I111^2,1/I113^2,1/I115^2,1/I117^2)</f>
        <v>7.3510137933463721E-3</v>
      </c>
      <c r="I121" s="64">
        <f>SQRT(1/SUM(1/I107^2,1/I109^2,1/I111^2,1/I113^2,1/I115^2,1/I117^2))</f>
        <v>1.7470674573559948E-2</v>
      </c>
      <c r="P121" s="65" t="s">
        <v>95</v>
      </c>
      <c r="Q121" s="64">
        <f>SUM(Q111/R111^2,Q113/R113^2,Q115/R115^2,Q117/R117^2)/SUM(1/R111^2,1/R113^2,1/R115^2,1/R117^2)</f>
        <v>8.3131692137082686E-3</v>
      </c>
      <c r="R121" s="64">
        <f>SQRT(1/SUM(1/R111^2,1/R113^2,1/R115^2,1/R117^2))</f>
        <v>1.521732692794346E-2</v>
      </c>
      <c r="Y121" s="65" t="s">
        <v>95</v>
      </c>
      <c r="Z121" s="64">
        <f>SUM(Z111/AA111^2,Z113/AA113^2,Z115/AA115^2,Z117/AA117^2)/SUM(1/AA111^2,1/AA113^2,1/AA115^2,1/AA117^2)</f>
        <v>8.7877840689744614E-3</v>
      </c>
      <c r="AA121" s="64">
        <f>SQRT(1/SUM(1/AA111^2,1/AA113^2,1/AA115^2,1/AA117^2))</f>
        <v>1.6207090720702321E-2</v>
      </c>
      <c r="AH121" s="65" t="s">
        <v>95</v>
      </c>
      <c r="AI121" s="64">
        <f>SUM(AI107/AJ107^2,AI109/AJ109^2,AI111/AJ111^2,AI113/AJ113^2,AI115/AJ115^2,AI117/AJ117^2)/SUM(1/AJ107^2,1/AJ109^2,1/AJ111^2,1/AJ113^2,1/AJ115^2,1/AJ117^2)</f>
        <v>1.2081517261729862E-2</v>
      </c>
      <c r="AJ121" s="64">
        <f>SQRT(1/SUM(1/AJ107^2,1/AJ109^2,1/AJ111^2,1/AJ113^2,1/AJ115^2,1/AJ117^2))</f>
        <v>8.896146896369422E-3</v>
      </c>
      <c r="AQ121" s="65" t="s">
        <v>95</v>
      </c>
      <c r="AR121" s="64">
        <f>SUM(AR107/AS107^2,AR109/AS109^2,AR111/AS111^2,AR113/AS113^2,AR115/AS115^2,AR117/AS117^2)/SUM(1/AS107^2,1/AS109^2,1/AS111^2,1/AS113^2,1/AS115^2,1/AS117^2)</f>
        <v>1.2325356871549731E-2</v>
      </c>
      <c r="AS121" s="64">
        <f>SQRT(1/SUM(1/AS107^2,1/AS109^2,1/AS111^2,1/AS113^2,1/AS115^2,1/AS117^2))</f>
        <v>8.0733382855840488E-3</v>
      </c>
    </row>
    <row r="122" spans="1:45">
      <c r="G122" s="65" t="s">
        <v>102</v>
      </c>
      <c r="H122" s="63">
        <f>H121*H19</f>
        <v>7.876342924697606E-4</v>
      </c>
      <c r="I122" s="63">
        <f>SQRT(I121^2+I39^2)</f>
        <v>1.7632551502759327E-2</v>
      </c>
      <c r="P122" s="65" t="s">
        <v>102</v>
      </c>
      <c r="Q122" s="63">
        <f>Q121*Q19</f>
        <v>1.2363194814852185E-3</v>
      </c>
      <c r="R122" s="63">
        <f>SQRT(R121^2+R19^2)</f>
        <v>1.5394368801270463E-2</v>
      </c>
      <c r="Y122" s="65" t="s">
        <v>102</v>
      </c>
      <c r="Z122" s="63">
        <f>Z121*Z19</f>
        <v>1.3050101423676527E-3</v>
      </c>
      <c r="AA122" s="63">
        <f>SQRT(AA121^2+AA19^2)</f>
        <v>1.6268553584370498E-2</v>
      </c>
      <c r="AH122" s="65" t="s">
        <v>102</v>
      </c>
      <c r="AI122" s="63">
        <f>AI121*AI19</f>
        <v>2.0456084432590397E-3</v>
      </c>
      <c r="AJ122" s="63">
        <f>SQRT(AJ121^2+AJ39^2)</f>
        <v>8.974335539217039E-3</v>
      </c>
      <c r="AQ122" s="65" t="s">
        <v>102</v>
      </c>
      <c r="AR122" s="63">
        <f>AR121*AR19</f>
        <v>2.0919126746686487E-3</v>
      </c>
      <c r="AS122" s="63">
        <f>SQRT(AS121^2+AS39^2)</f>
        <v>8.1307670308923413E-3</v>
      </c>
    </row>
    <row r="123" spans="1:45">
      <c r="G123" s="65" t="s">
        <v>103</v>
      </c>
      <c r="H123" s="64">
        <f>H120/H122</f>
        <v>1.0643664717586141</v>
      </c>
      <c r="I123" s="64">
        <f>SQRT(I120^2+I122^2)</f>
        <v>3.596023204936119E-2</v>
      </c>
      <c r="P123" s="65" t="s">
        <v>103</v>
      </c>
      <c r="Q123" s="64">
        <f>Q120/Q122</f>
        <v>0.61149835108939932</v>
      </c>
      <c r="R123" s="64">
        <f>SQRT(R120^2+R122^2)</f>
        <v>3.0986928286294856E-2</v>
      </c>
      <c r="Y123" s="65" t="s">
        <v>103</v>
      </c>
      <c r="Z123" s="64">
        <f>Z120/Z122</f>
        <v>0.52716985595587329</v>
      </c>
      <c r="AA123" s="64">
        <f>SQRT(AA120^2+AA122^2)</f>
        <v>4.1188990642126909E-2</v>
      </c>
      <c r="AH123" s="65" t="s">
        <v>103</v>
      </c>
      <c r="AI123" s="64">
        <f>AI120/AI122</f>
        <v>0.96093813829959673</v>
      </c>
      <c r="AJ123" s="64">
        <f>SQRT(AJ120^2+AJ122^2)</f>
        <v>1.884562635872061E-2</v>
      </c>
      <c r="AQ123" s="65" t="s">
        <v>103</v>
      </c>
      <c r="AR123" s="64">
        <f>AR120/AR122</f>
        <v>0.99874379971310723</v>
      </c>
      <c r="AS123" s="64">
        <f>SQRT(AS120^2+AS122^2)</f>
        <v>1.5339857284362253E-2</v>
      </c>
    </row>
    <row r="124" spans="1:45">
      <c r="G124" s="65" t="s">
        <v>104</v>
      </c>
      <c r="H124" s="64">
        <f>1000*(H123-1)</f>
        <v>64.366471758614097</v>
      </c>
      <c r="I124" s="64">
        <f>I123*1000</f>
        <v>35.960232049361188</v>
      </c>
      <c r="P124" s="65" t="s">
        <v>104</v>
      </c>
      <c r="Q124" s="64">
        <f>(Q123-1)*1000</f>
        <v>-388.50164891060069</v>
      </c>
      <c r="R124" s="64">
        <f>R123*1000</f>
        <v>30.986928286294855</v>
      </c>
      <c r="Y124" s="65" t="s">
        <v>104</v>
      </c>
      <c r="Z124" s="64">
        <f>(Z123-1)*1000</f>
        <v>-472.83014404412671</v>
      </c>
      <c r="AA124" s="64">
        <f>AA123*1000</f>
        <v>41.18899064212691</v>
      </c>
      <c r="AH124" s="65" t="s">
        <v>104</v>
      </c>
      <c r="AI124" s="64">
        <f>1000*(AI123-1)</f>
        <v>-39.06186170040327</v>
      </c>
      <c r="AJ124" s="64">
        <f>AJ123*1000</f>
        <v>18.845626358720608</v>
      </c>
      <c r="AQ124" s="65" t="s">
        <v>104</v>
      </c>
      <c r="AR124" s="64">
        <f>1000*(AR123-1)</f>
        <v>-1.2562002868927724</v>
      </c>
      <c r="AS124" s="64">
        <f>AS123*1000</f>
        <v>15.339857284362253</v>
      </c>
    </row>
    <row r="128" spans="1:45">
      <c r="A128" s="1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0B9E-CF91-2A44-8104-BF641F720C16}">
  <dimension ref="A1:DL94"/>
  <sheetViews>
    <sheetView zoomScaleNormal="100" workbookViewId="0">
      <pane xSplit="2" topLeftCell="C1" activePane="topRight" state="frozen"/>
      <selection pane="topRight" activeCell="AN86" sqref="AN86:AO86"/>
    </sheetView>
  </sheetViews>
  <sheetFormatPr baseColWidth="10" defaultRowHeight="16"/>
  <cols>
    <col min="2" max="2" width="45" customWidth="1"/>
    <col min="3" max="4" width="12.33203125" customWidth="1"/>
    <col min="6" max="6" width="14.6640625" customWidth="1"/>
    <col min="7" max="7" width="18.83203125" style="24" customWidth="1"/>
    <col min="10" max="10" width="13" customWidth="1"/>
    <col min="11" max="12" width="14.5" customWidth="1"/>
    <col min="13" max="13" width="14.6640625" customWidth="1"/>
    <col min="14" max="14" width="15.1640625" customWidth="1"/>
    <col min="15" max="15" width="15.6640625" style="24" customWidth="1"/>
    <col min="19" max="20" width="12" customWidth="1"/>
    <col min="21" max="21" width="11.83203125" customWidth="1"/>
    <col min="22" max="22" width="18.5" customWidth="1"/>
    <col min="23" max="23" width="18.5" style="24" customWidth="1"/>
    <col min="27" max="28" width="13.5" customWidth="1"/>
    <col min="30" max="30" width="16" customWidth="1"/>
    <col min="31" max="31" width="16.5" style="24" customWidth="1"/>
    <col min="35" max="36" width="13.83203125" customWidth="1"/>
    <col min="37" max="37" width="16.6640625" customWidth="1"/>
    <col min="38" max="38" width="15.33203125" customWidth="1"/>
    <col min="39" max="39" width="13.5" style="24" customWidth="1"/>
  </cols>
  <sheetData>
    <row r="1" spans="1:116" s="13" customFormat="1" ht="29">
      <c r="A1" s="14" t="s">
        <v>46</v>
      </c>
      <c r="C1" s="13" t="s">
        <v>41</v>
      </c>
      <c r="G1" s="23"/>
      <c r="M1" s="13" t="s">
        <v>42</v>
      </c>
      <c r="O1" s="23"/>
      <c r="U1" s="13" t="s">
        <v>43</v>
      </c>
      <c r="W1" s="23"/>
      <c r="AC1" s="13" t="s">
        <v>44</v>
      </c>
      <c r="AE1" s="23"/>
      <c r="AK1" s="13" t="s">
        <v>45</v>
      </c>
      <c r="AM1" s="23"/>
    </row>
    <row r="2" spans="1:116" ht="18" customHeight="1">
      <c r="A2" s="15" t="s">
        <v>18</v>
      </c>
      <c r="B2" s="1" t="s">
        <v>5</v>
      </c>
      <c r="C2" s="2" t="s">
        <v>9</v>
      </c>
      <c r="D2" s="2" t="s">
        <v>27</v>
      </c>
      <c r="E2" s="2" t="s">
        <v>10</v>
      </c>
      <c r="F2" s="2" t="s">
        <v>49</v>
      </c>
      <c r="G2" s="25" t="s">
        <v>51</v>
      </c>
      <c r="H2" s="2" t="s">
        <v>11</v>
      </c>
      <c r="I2" s="2" t="s">
        <v>48</v>
      </c>
      <c r="J2" s="2"/>
      <c r="K2" s="2" t="s">
        <v>9</v>
      </c>
      <c r="L2" s="2" t="s">
        <v>27</v>
      </c>
      <c r="M2" s="2" t="s">
        <v>10</v>
      </c>
      <c r="N2" s="2" t="s">
        <v>49</v>
      </c>
      <c r="O2" s="25" t="s">
        <v>51</v>
      </c>
      <c r="P2" s="2" t="s">
        <v>11</v>
      </c>
      <c r="Q2" s="2" t="s">
        <v>12</v>
      </c>
      <c r="R2" s="2"/>
      <c r="S2" s="2" t="s">
        <v>9</v>
      </c>
      <c r="T2" s="2" t="s">
        <v>27</v>
      </c>
      <c r="U2" s="2" t="s">
        <v>10</v>
      </c>
      <c r="V2" s="2" t="s">
        <v>49</v>
      </c>
      <c r="W2" s="25" t="s">
        <v>51</v>
      </c>
      <c r="X2" s="2" t="s">
        <v>11</v>
      </c>
      <c r="Y2" s="2" t="s">
        <v>12</v>
      </c>
      <c r="Z2" s="2"/>
      <c r="AA2" s="2" t="s">
        <v>9</v>
      </c>
      <c r="AB2" s="2" t="s">
        <v>27</v>
      </c>
      <c r="AC2" s="2" t="s">
        <v>10</v>
      </c>
      <c r="AD2" s="2" t="s">
        <v>49</v>
      </c>
      <c r="AE2" s="25" t="s">
        <v>51</v>
      </c>
      <c r="AF2" s="2" t="s">
        <v>11</v>
      </c>
      <c r="AG2" s="2" t="s">
        <v>12</v>
      </c>
      <c r="AH2" s="2"/>
      <c r="AI2" s="2" t="s">
        <v>9</v>
      </c>
      <c r="AJ2" s="2" t="s">
        <v>27</v>
      </c>
      <c r="AK2" s="2" t="s">
        <v>10</v>
      </c>
      <c r="AL2" s="2" t="s">
        <v>49</v>
      </c>
      <c r="AM2" s="25" t="s">
        <v>51</v>
      </c>
      <c r="AN2" s="2" t="s">
        <v>11</v>
      </c>
      <c r="AO2" s="2" t="s">
        <v>12</v>
      </c>
    </row>
    <row r="3" spans="1:116" ht="31">
      <c r="A3" s="33" t="s">
        <v>50</v>
      </c>
    </row>
    <row r="4" spans="1:116">
      <c r="A4" s="8" t="s">
        <v>19</v>
      </c>
      <c r="B4" s="1"/>
      <c r="C4" s="2"/>
      <c r="D4" s="2"/>
      <c r="E4" s="2"/>
      <c r="F4" s="2"/>
      <c r="G4" s="25"/>
      <c r="H4" s="2"/>
      <c r="I4" s="2"/>
      <c r="J4" s="2"/>
      <c r="K4" s="2"/>
      <c r="L4" s="2"/>
      <c r="M4" s="2"/>
      <c r="N4" s="2"/>
      <c r="O4" s="25"/>
      <c r="P4" s="2"/>
      <c r="Q4" s="2"/>
      <c r="R4" s="2"/>
      <c r="S4" s="2"/>
      <c r="T4" s="2"/>
      <c r="U4" s="2"/>
      <c r="V4" s="2"/>
      <c r="W4" s="25"/>
      <c r="X4" s="2"/>
      <c r="Y4" s="2"/>
      <c r="Z4" s="2"/>
      <c r="AA4" s="2"/>
      <c r="AB4" s="2"/>
      <c r="AC4" s="2"/>
      <c r="AD4" s="2"/>
      <c r="AE4" s="25"/>
      <c r="AF4" s="2"/>
      <c r="AG4" s="2"/>
      <c r="AH4" s="2"/>
      <c r="AI4" s="2"/>
      <c r="AK4" s="2"/>
      <c r="AL4" s="2"/>
      <c r="AM4" s="25"/>
      <c r="AN4" s="2"/>
      <c r="AO4" s="2"/>
    </row>
    <row r="5" spans="1:116" s="5" customFormat="1">
      <c r="A5" s="16" t="s">
        <v>25</v>
      </c>
      <c r="B5" s="10"/>
      <c r="C5" s="11"/>
      <c r="D5" s="11"/>
      <c r="E5" s="11"/>
      <c r="F5" s="11"/>
      <c r="G5" s="26"/>
      <c r="H5" s="11"/>
      <c r="I5" s="11"/>
      <c r="J5" s="2"/>
      <c r="K5" s="11"/>
      <c r="L5" s="11"/>
      <c r="M5" s="11"/>
      <c r="N5" s="11"/>
      <c r="O5" s="26"/>
      <c r="P5" s="11"/>
      <c r="Q5" s="11"/>
      <c r="R5" s="2"/>
      <c r="S5" s="11"/>
      <c r="T5" s="11"/>
      <c r="U5" s="11"/>
      <c r="V5" s="11"/>
      <c r="W5" s="26"/>
      <c r="X5" s="11"/>
      <c r="Y5" s="11"/>
      <c r="Z5" s="2"/>
      <c r="AA5" s="11"/>
      <c r="AB5" s="11"/>
      <c r="AC5" s="11"/>
      <c r="AD5" s="11"/>
      <c r="AE5" s="26"/>
      <c r="AF5" s="11"/>
      <c r="AG5" s="11"/>
      <c r="AH5" s="2"/>
      <c r="AI5" s="11"/>
      <c r="AJ5" s="11"/>
      <c r="AK5" s="11"/>
      <c r="AL5" s="11"/>
      <c r="AM5" s="26"/>
      <c r="AN5" s="11"/>
      <c r="AO5" s="11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</row>
    <row r="6" spans="1:116" s="5" customFormat="1">
      <c r="A6" s="17">
        <v>44666</v>
      </c>
      <c r="B6" s="5" t="s">
        <v>1</v>
      </c>
      <c r="C6" s="5" t="s">
        <v>13</v>
      </c>
      <c r="D6" s="5" t="s">
        <v>31</v>
      </c>
      <c r="E6" s="5" t="s">
        <v>21</v>
      </c>
      <c r="F6" s="22">
        <v>68500000</v>
      </c>
      <c r="G6" s="27">
        <v>5</v>
      </c>
      <c r="H6" s="21">
        <v>0.103836708585115</v>
      </c>
      <c r="I6" s="21">
        <v>8.1935377790861592E-3</v>
      </c>
      <c r="J6"/>
      <c r="K6" s="5" t="s">
        <v>14</v>
      </c>
      <c r="L6" s="5" t="s">
        <v>32</v>
      </c>
      <c r="M6" s="5" t="s">
        <v>21</v>
      </c>
      <c r="N6" s="22">
        <v>22300000</v>
      </c>
      <c r="O6" s="27">
        <v>5</v>
      </c>
      <c r="P6" s="21">
        <v>0.14707698944825701</v>
      </c>
      <c r="Q6" s="21">
        <v>4.8246252631634502E-3</v>
      </c>
      <c r="R6"/>
      <c r="S6" s="5" t="s">
        <v>15</v>
      </c>
      <c r="T6" s="5" t="s">
        <v>33</v>
      </c>
      <c r="U6" s="5" t="s">
        <v>21</v>
      </c>
      <c r="V6" s="22">
        <v>12300000</v>
      </c>
      <c r="W6" s="27">
        <v>5</v>
      </c>
      <c r="X6" s="21">
        <v>0.14862168264523501</v>
      </c>
      <c r="Y6" s="21">
        <v>2.5332042723719499E-3</v>
      </c>
      <c r="Z6"/>
      <c r="AA6" s="5" t="s">
        <v>16</v>
      </c>
      <c r="AB6" s="5" t="s">
        <v>34</v>
      </c>
      <c r="AC6" s="5" t="s">
        <v>21</v>
      </c>
      <c r="AD6" s="22">
        <v>23200000</v>
      </c>
      <c r="AE6" s="27">
        <v>5</v>
      </c>
      <c r="AF6" s="21">
        <v>0.169721121455473</v>
      </c>
      <c r="AG6" s="21">
        <v>3.2563646715680402E-3</v>
      </c>
      <c r="AH6"/>
      <c r="AI6" s="5" t="s">
        <v>17</v>
      </c>
      <c r="AJ6" s="5" t="s">
        <v>35</v>
      </c>
      <c r="AK6" s="5" t="s">
        <v>21</v>
      </c>
      <c r="AL6" s="22">
        <v>14400000</v>
      </c>
      <c r="AM6" s="27">
        <v>5</v>
      </c>
      <c r="AN6" s="21">
        <v>0.168791089551205</v>
      </c>
      <c r="AO6" s="21">
        <v>3.2158620263753302E-3</v>
      </c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</row>
    <row r="7" spans="1:116" s="5" customFormat="1">
      <c r="A7" s="17">
        <v>44666</v>
      </c>
      <c r="B7" s="5" t="s">
        <v>0</v>
      </c>
      <c r="C7" s="5" t="s">
        <v>13</v>
      </c>
      <c r="D7" s="5" t="s">
        <v>31</v>
      </c>
      <c r="E7" s="5" t="s">
        <v>21</v>
      </c>
      <c r="F7" s="22">
        <v>911000</v>
      </c>
      <c r="G7" s="27">
        <f>(F7/F6)*G6</f>
        <v>6.64963503649635E-2</v>
      </c>
      <c r="H7" s="21">
        <v>0.103394888360028</v>
      </c>
      <c r="I7" s="21">
        <v>2.6890711243570301E-2</v>
      </c>
      <c r="J7"/>
      <c r="K7" s="5" t="s">
        <v>14</v>
      </c>
      <c r="L7" s="5" t="s">
        <v>32</v>
      </c>
      <c r="M7" s="5" t="s">
        <v>21</v>
      </c>
      <c r="N7" s="22">
        <v>295000</v>
      </c>
      <c r="O7" s="27">
        <f>(N7/N6)*O6</f>
        <v>6.614349775784753E-2</v>
      </c>
      <c r="P7" s="21">
        <v>0.14773930610869099</v>
      </c>
      <c r="Q7" s="21">
        <v>2.0993885481073098E-2</v>
      </c>
      <c r="R7"/>
      <c r="S7" s="5" t="s">
        <v>15</v>
      </c>
      <c r="T7" s="5" t="s">
        <v>33</v>
      </c>
      <c r="U7" s="5" t="s">
        <v>21</v>
      </c>
      <c r="V7" s="22">
        <v>105000</v>
      </c>
      <c r="W7" s="29">
        <f>(V7/V6)*W6</f>
        <v>4.2682926829268296E-2</v>
      </c>
      <c r="X7" s="21">
        <v>0.14758736048785601</v>
      </c>
      <c r="Y7" s="21">
        <v>1.2942692827083E-2</v>
      </c>
      <c r="Z7"/>
      <c r="AA7" s="5" t="s">
        <v>16</v>
      </c>
      <c r="AB7" s="5" t="s">
        <v>34</v>
      </c>
      <c r="AC7" s="5" t="s">
        <v>21</v>
      </c>
      <c r="AD7" s="22">
        <v>789000</v>
      </c>
      <c r="AE7" s="27">
        <f>AD7/AD6*AE6</f>
        <v>0.17004310344827583</v>
      </c>
      <c r="AF7" s="21">
        <v>0.16676065963437001</v>
      </c>
      <c r="AG7" s="21">
        <v>8.6176138885090507E-3</v>
      </c>
      <c r="AH7"/>
      <c r="AI7" s="5" t="s">
        <v>17</v>
      </c>
      <c r="AJ7" s="5" t="s">
        <v>35</v>
      </c>
      <c r="AK7" s="5" t="s">
        <v>21</v>
      </c>
      <c r="AL7" s="22">
        <v>2620000</v>
      </c>
      <c r="AM7" s="27">
        <f>AL7/AL6*AM6</f>
        <v>0.90972222222222221</v>
      </c>
      <c r="AN7" s="21">
        <v>0.16834376843242599</v>
      </c>
      <c r="AO7" s="21">
        <v>5.2920064727952701E-3</v>
      </c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</row>
    <row r="8" spans="1:116" s="5" customFormat="1">
      <c r="A8" s="17">
        <v>44666</v>
      </c>
      <c r="B8" s="5" t="s">
        <v>2</v>
      </c>
      <c r="C8" s="5" t="s">
        <v>13</v>
      </c>
      <c r="D8" s="5" t="s">
        <v>31</v>
      </c>
      <c r="E8" s="5" t="s">
        <v>21</v>
      </c>
      <c r="F8" s="22">
        <v>5000000</v>
      </c>
      <c r="G8" s="27">
        <f>F8/F6*G6</f>
        <v>0.36496350364963503</v>
      </c>
      <c r="H8" s="21">
        <v>0.106699538641799</v>
      </c>
      <c r="I8" s="21">
        <v>1.0532842697260901E-2</v>
      </c>
      <c r="J8"/>
      <c r="K8" s="5" t="s">
        <v>14</v>
      </c>
      <c r="L8" s="5" t="s">
        <v>32</v>
      </c>
      <c r="M8" s="5" t="s">
        <v>21</v>
      </c>
      <c r="N8" s="22">
        <v>1370000</v>
      </c>
      <c r="O8" s="27">
        <f>N8/N6*O6</f>
        <v>0.30717488789237668</v>
      </c>
      <c r="P8" s="21">
        <v>0.14552943848439001</v>
      </c>
      <c r="Q8" s="21">
        <v>6.65571590071928E-3</v>
      </c>
      <c r="R8"/>
      <c r="S8" s="5" t="s">
        <v>15</v>
      </c>
      <c r="T8" s="5" t="s">
        <v>33</v>
      </c>
      <c r="U8" s="5" t="s">
        <v>21</v>
      </c>
      <c r="V8" s="22">
        <v>461000</v>
      </c>
      <c r="W8" s="27">
        <f>V8/V6*W6</f>
        <v>0.18739837398373985</v>
      </c>
      <c r="X8" s="21">
        <v>0.14455069626341199</v>
      </c>
      <c r="Y8" s="21">
        <v>4.7377229794434003E-3</v>
      </c>
      <c r="Z8"/>
      <c r="AA8" s="5" t="s">
        <v>16</v>
      </c>
      <c r="AB8" s="5" t="s">
        <v>34</v>
      </c>
      <c r="AC8" s="5" t="s">
        <v>21</v>
      </c>
      <c r="AD8" s="22">
        <v>4800000</v>
      </c>
      <c r="AE8" s="27">
        <f>AD8/AD6*AE6</f>
        <v>1.0344827586206897</v>
      </c>
      <c r="AF8" s="21">
        <v>0.16875672222621799</v>
      </c>
      <c r="AG8" s="21">
        <v>3.5119359498943302E-3</v>
      </c>
      <c r="AH8"/>
      <c r="AI8" s="5" t="s">
        <v>17</v>
      </c>
      <c r="AJ8" s="5" t="s">
        <v>35</v>
      </c>
      <c r="AK8" s="5" t="s">
        <v>21</v>
      </c>
      <c r="AL8" s="22">
        <v>22000000</v>
      </c>
      <c r="AM8" s="27">
        <f>AL8/AL6*AM6</f>
        <v>7.6388888888888884</v>
      </c>
      <c r="AN8" s="21">
        <v>0.169952612404875</v>
      </c>
      <c r="AO8" s="21">
        <v>3.0307475769197302E-3</v>
      </c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</row>
    <row r="9" spans="1:116" s="5" customFormat="1">
      <c r="A9" s="16" t="s">
        <v>26</v>
      </c>
      <c r="G9" s="27"/>
      <c r="J9"/>
      <c r="O9" s="27"/>
      <c r="R9"/>
      <c r="W9" s="27"/>
      <c r="Z9"/>
      <c r="AE9" s="27"/>
      <c r="AH9"/>
      <c r="AM9" s="27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</row>
    <row r="10" spans="1:116" s="5" customFormat="1">
      <c r="A10" s="17">
        <v>44667</v>
      </c>
      <c r="B10" s="5" t="s">
        <v>4</v>
      </c>
      <c r="C10" s="5" t="s">
        <v>30</v>
      </c>
      <c r="D10" s="5" t="s">
        <v>31</v>
      </c>
      <c r="E10" s="5" t="s">
        <v>21</v>
      </c>
      <c r="F10" s="22">
        <v>78000000</v>
      </c>
      <c r="G10" s="27">
        <v>5</v>
      </c>
      <c r="H10" s="21">
        <v>0.1055860811564</v>
      </c>
      <c r="I10" s="21">
        <v>1.28076723554712E-2</v>
      </c>
      <c r="J10"/>
      <c r="K10" s="5" t="s">
        <v>14</v>
      </c>
      <c r="L10" s="5" t="s">
        <v>32</v>
      </c>
      <c r="M10" s="5" t="s">
        <v>21</v>
      </c>
      <c r="N10" s="22">
        <v>30600000</v>
      </c>
      <c r="O10" s="27">
        <v>5</v>
      </c>
      <c r="P10" s="21">
        <v>0.14899254080888699</v>
      </c>
      <c r="Q10" s="21">
        <v>4.6957742755650697E-3</v>
      </c>
      <c r="R10"/>
      <c r="S10" s="5" t="s">
        <v>15</v>
      </c>
      <c r="T10" s="5" t="s">
        <v>33</v>
      </c>
      <c r="U10" s="5" t="s">
        <v>21</v>
      </c>
      <c r="V10" s="22">
        <v>16400000</v>
      </c>
      <c r="W10" s="27">
        <v>5</v>
      </c>
      <c r="X10" s="21">
        <v>0.14878530111503999</v>
      </c>
      <c r="Y10" s="21">
        <v>2.6210509250321899E-3</v>
      </c>
      <c r="Z10"/>
      <c r="AA10" s="5" t="s">
        <v>16</v>
      </c>
      <c r="AB10" s="5" t="s">
        <v>34</v>
      </c>
      <c r="AC10" s="5" t="s">
        <v>21</v>
      </c>
      <c r="AD10" s="22">
        <v>26800000</v>
      </c>
      <c r="AE10" s="27">
        <v>5</v>
      </c>
      <c r="AF10" s="21">
        <v>0.168993733838392</v>
      </c>
      <c r="AG10" s="21">
        <v>3.1795178096092401E-3</v>
      </c>
      <c r="AH10"/>
      <c r="AI10" s="5" t="s">
        <v>17</v>
      </c>
      <c r="AJ10" s="5" t="s">
        <v>35</v>
      </c>
      <c r="AK10" s="5" t="s">
        <v>21</v>
      </c>
      <c r="AL10" s="22">
        <v>19900000</v>
      </c>
      <c r="AM10" s="27">
        <v>5</v>
      </c>
      <c r="AN10" s="21">
        <v>0.16978613524011699</v>
      </c>
      <c r="AO10" s="21">
        <v>3.05194225231303E-3</v>
      </c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</row>
    <row r="11" spans="1:116" s="5" customFormat="1">
      <c r="A11" s="17">
        <v>44667</v>
      </c>
      <c r="B11" s="5" t="s">
        <v>3</v>
      </c>
      <c r="C11" s="5" t="s">
        <v>30</v>
      </c>
      <c r="D11" s="5" t="s">
        <v>31</v>
      </c>
      <c r="E11" s="5" t="s">
        <v>21</v>
      </c>
      <c r="F11" s="22">
        <v>1320000</v>
      </c>
      <c r="G11" s="27">
        <f>F11/F10*G10</f>
        <v>8.461538461538462E-2</v>
      </c>
      <c r="H11" s="21">
        <v>0.102994535761886</v>
      </c>
      <c r="I11" s="21">
        <v>8.0098691442472194E-3</v>
      </c>
      <c r="J11"/>
      <c r="K11" s="5" t="s">
        <v>14</v>
      </c>
      <c r="L11" s="5" t="s">
        <v>32</v>
      </c>
      <c r="M11" s="5" t="s">
        <v>21</v>
      </c>
      <c r="N11" s="22">
        <v>325000</v>
      </c>
      <c r="O11" s="27">
        <f>N11/N10*O10</f>
        <v>5.3104575163398698E-2</v>
      </c>
      <c r="P11" s="21">
        <v>0.147201945323162</v>
      </c>
      <c r="Q11" s="21">
        <v>8.9091006865136008E-3</v>
      </c>
      <c r="R11"/>
      <c r="S11" s="5" t="s">
        <v>15</v>
      </c>
      <c r="T11" s="5" t="s">
        <v>33</v>
      </c>
      <c r="U11" s="5" t="s">
        <v>21</v>
      </c>
      <c r="V11" s="22">
        <v>160000</v>
      </c>
      <c r="W11" s="27">
        <f>V11/V10*W10</f>
        <v>4.878048780487805E-2</v>
      </c>
      <c r="X11" s="21">
        <v>0.145755436096593</v>
      </c>
      <c r="Y11" s="21">
        <v>5.4675769924462398E-3</v>
      </c>
      <c r="Z11"/>
      <c r="AA11" s="5" t="s">
        <v>16</v>
      </c>
      <c r="AB11" s="5" t="s">
        <v>34</v>
      </c>
      <c r="AC11" s="5" t="s">
        <v>21</v>
      </c>
      <c r="AD11" s="22">
        <v>915000</v>
      </c>
      <c r="AE11" s="27">
        <f>AD11/AD10*AE10</f>
        <v>0.17070895522388058</v>
      </c>
      <c r="AF11" s="21">
        <v>0.168196100327584</v>
      </c>
      <c r="AG11" s="21">
        <v>3.5204199574589601E-3</v>
      </c>
      <c r="AH11"/>
      <c r="AI11" s="5" t="s">
        <v>17</v>
      </c>
      <c r="AJ11" s="5" t="s">
        <v>35</v>
      </c>
      <c r="AK11" s="5" t="s">
        <v>21</v>
      </c>
      <c r="AL11" s="22">
        <v>4220000</v>
      </c>
      <c r="AM11" s="27">
        <f>AL11/AL10*AM10</f>
        <v>1.0603015075376885</v>
      </c>
      <c r="AN11" s="21">
        <v>0.16990175921398801</v>
      </c>
      <c r="AO11" s="21">
        <v>2.89079929424835E-3</v>
      </c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</row>
    <row r="12" spans="1:116">
      <c r="A12" s="18"/>
    </row>
    <row r="13" spans="1:116">
      <c r="A13" s="9" t="s">
        <v>20</v>
      </c>
    </row>
    <row r="14" spans="1:116" s="7" customFormat="1">
      <c r="A14" s="20">
        <v>44667</v>
      </c>
      <c r="B14" s="7" t="s">
        <v>6</v>
      </c>
      <c r="C14" s="7" t="s">
        <v>36</v>
      </c>
      <c r="D14" s="12" t="s">
        <v>29</v>
      </c>
      <c r="E14" s="7" t="s">
        <v>23</v>
      </c>
      <c r="F14" s="30">
        <v>500000</v>
      </c>
      <c r="G14" s="28">
        <f>G11</f>
        <v>8.461538461538462E-2</v>
      </c>
      <c r="H14" s="21">
        <v>0.109364021831655</v>
      </c>
      <c r="I14" s="21">
        <v>5.6939506615468699E-3</v>
      </c>
      <c r="J14"/>
      <c r="K14" s="7" t="s">
        <v>37</v>
      </c>
      <c r="L14" s="12" t="s">
        <v>29</v>
      </c>
      <c r="M14" s="7" t="s">
        <v>22</v>
      </c>
      <c r="N14" s="30">
        <v>98400</v>
      </c>
      <c r="O14" s="28">
        <f>O11</f>
        <v>5.3104575163398698E-2</v>
      </c>
      <c r="P14" s="21">
        <v>0.15008701785241699</v>
      </c>
      <c r="Q14" s="21">
        <v>5.7529988404529499E-3</v>
      </c>
      <c r="R14"/>
      <c r="S14" s="7" t="s">
        <v>38</v>
      </c>
      <c r="T14" s="12" t="s">
        <v>29</v>
      </c>
      <c r="U14" s="7" t="s">
        <v>22</v>
      </c>
      <c r="V14" s="30">
        <v>45000</v>
      </c>
      <c r="W14" s="28">
        <f>W11</f>
        <v>4.878048780487805E-2</v>
      </c>
      <c r="X14" s="21">
        <v>0.150213164237886</v>
      </c>
      <c r="Y14" s="21">
        <v>4.52743400899652E-3</v>
      </c>
      <c r="Z14"/>
      <c r="AA14" s="7" t="s">
        <v>39</v>
      </c>
      <c r="AB14" s="12" t="s">
        <v>29</v>
      </c>
      <c r="AC14" s="7" t="s">
        <v>21</v>
      </c>
      <c r="AD14" s="30">
        <v>265000</v>
      </c>
      <c r="AE14" s="28">
        <f>AE11</f>
        <v>0.17070895522388058</v>
      </c>
      <c r="AF14" s="21">
        <v>0.16992284757461101</v>
      </c>
      <c r="AG14" s="21">
        <v>3.2321985882716002E-3</v>
      </c>
      <c r="AH14"/>
      <c r="AI14" s="7" t="s">
        <v>40</v>
      </c>
      <c r="AJ14" s="12" t="s">
        <v>29</v>
      </c>
      <c r="AK14" s="7" t="s">
        <v>21</v>
      </c>
      <c r="AL14" s="30">
        <v>1000000</v>
      </c>
      <c r="AM14" s="28">
        <f>AM11</f>
        <v>1.0603015075376885</v>
      </c>
      <c r="AN14" s="21">
        <v>0.17012140204585699</v>
      </c>
      <c r="AO14" s="21">
        <v>2.0269144945697401E-3</v>
      </c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</row>
    <row r="15" spans="1:116" s="7" customFormat="1">
      <c r="A15" s="20">
        <v>44667</v>
      </c>
      <c r="B15" s="7" t="s">
        <v>7</v>
      </c>
      <c r="C15" s="7" t="s">
        <v>36</v>
      </c>
      <c r="D15" s="12" t="s">
        <v>29</v>
      </c>
      <c r="E15" s="7" t="s">
        <v>22</v>
      </c>
      <c r="F15" s="30">
        <v>915000</v>
      </c>
      <c r="G15" s="28">
        <f>F15/F16*G16</f>
        <v>0.11077703513967822</v>
      </c>
      <c r="H15" s="21">
        <v>0.105623920356705</v>
      </c>
      <c r="I15" s="21">
        <v>7.71794009016791E-3</v>
      </c>
      <c r="J15"/>
      <c r="K15" s="7" t="s">
        <v>37</v>
      </c>
      <c r="L15" s="12" t="s">
        <v>29</v>
      </c>
      <c r="M15" s="7" t="s">
        <v>22</v>
      </c>
      <c r="N15" s="30">
        <v>300000</v>
      </c>
      <c r="O15" s="28">
        <f>N15/N16*O16</f>
        <v>0.13196167021025279</v>
      </c>
      <c r="P15" s="21">
        <v>0.15265034538656999</v>
      </c>
      <c r="Q15" s="21">
        <v>4.6518306220375604E-3</v>
      </c>
      <c r="R15"/>
      <c r="S15" s="7" t="s">
        <v>38</v>
      </c>
      <c r="T15" s="12" t="s">
        <v>29</v>
      </c>
      <c r="U15" s="7" t="s">
        <v>22</v>
      </c>
      <c r="V15" s="30">
        <v>70000</v>
      </c>
      <c r="W15" s="28">
        <f>V15/V16*W16</f>
        <v>6.1696740489086889E-2</v>
      </c>
      <c r="X15" s="21">
        <v>0.152363273482119</v>
      </c>
      <c r="Y15" s="21">
        <v>4.8248695388720102E-3</v>
      </c>
      <c r="Z15"/>
      <c r="AA15" s="7" t="s">
        <v>39</v>
      </c>
      <c r="AB15" s="12" t="s">
        <v>29</v>
      </c>
      <c r="AC15" s="7" t="s">
        <v>24</v>
      </c>
      <c r="AD15" s="30">
        <v>1000000</v>
      </c>
      <c r="AE15" s="28">
        <f>AD15/AD16*AE16</f>
        <v>0.4694496268656716</v>
      </c>
      <c r="AF15" s="21">
        <v>0.17087176262605</v>
      </c>
      <c r="AG15" s="21">
        <v>3.0203846393601799E-3</v>
      </c>
      <c r="AH15"/>
      <c r="AI15" s="7" t="s">
        <v>40</v>
      </c>
      <c r="AJ15" s="12" t="s">
        <v>29</v>
      </c>
      <c r="AK15" s="7" t="s">
        <v>24</v>
      </c>
      <c r="AL15" s="30">
        <v>3000000</v>
      </c>
      <c r="AM15" s="28">
        <f>AL15/AL16*AM16</f>
        <v>2.1868718592964824</v>
      </c>
      <c r="AN15" s="21">
        <v>0.168548307737104</v>
      </c>
      <c r="AO15" s="21">
        <v>3.0451172420591201E-3</v>
      </c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</row>
    <row r="16" spans="1:116" s="7" customFormat="1">
      <c r="A16" s="20">
        <v>44667</v>
      </c>
      <c r="B16" s="7" t="s">
        <v>8</v>
      </c>
      <c r="C16" s="7" t="s">
        <v>36</v>
      </c>
      <c r="D16" s="12" t="s">
        <v>29</v>
      </c>
      <c r="E16" s="7" t="s">
        <v>22</v>
      </c>
      <c r="F16" s="30">
        <v>961000</v>
      </c>
      <c r="G16" s="28">
        <f>G11*(1.1/0.8)</f>
        <v>0.11634615384615385</v>
      </c>
      <c r="H16" s="21">
        <v>0.108703818836242</v>
      </c>
      <c r="I16" s="21">
        <v>5.1314323645300702E-3</v>
      </c>
      <c r="J16"/>
      <c r="K16" s="7" t="s">
        <v>37</v>
      </c>
      <c r="L16" s="12" t="s">
        <v>29</v>
      </c>
      <c r="M16" s="7" t="s">
        <v>22</v>
      </c>
      <c r="N16" s="30">
        <v>166000</v>
      </c>
      <c r="O16" s="28">
        <f>O11*(1.1/0.8)</f>
        <v>7.3018790849673207E-2</v>
      </c>
      <c r="P16" s="21">
        <v>0.15221591525665101</v>
      </c>
      <c r="Q16" s="21">
        <v>5.6963484246708796E-3</v>
      </c>
      <c r="R16"/>
      <c r="S16" s="7" t="s">
        <v>38</v>
      </c>
      <c r="T16" s="12" t="s">
        <v>29</v>
      </c>
      <c r="U16" s="7" t="s">
        <v>22</v>
      </c>
      <c r="V16" s="30">
        <v>76100</v>
      </c>
      <c r="W16" s="28">
        <f>W11*(1.1/0.8)</f>
        <v>6.7073170731707321E-2</v>
      </c>
      <c r="X16" s="21">
        <v>0.150217780287626</v>
      </c>
      <c r="Y16" s="21">
        <v>3.7060798448697598E-3</v>
      </c>
      <c r="Z16"/>
      <c r="AA16" s="7" t="s">
        <v>39</v>
      </c>
      <c r="AB16" s="12" t="s">
        <v>29</v>
      </c>
      <c r="AC16" s="7" t="s">
        <v>24</v>
      </c>
      <c r="AD16" s="30">
        <v>500000</v>
      </c>
      <c r="AE16" s="28">
        <f>AE11*(1.1/0.8)</f>
        <v>0.2347248134328358</v>
      </c>
      <c r="AF16" s="21">
        <v>0.169706217315129</v>
      </c>
      <c r="AG16" s="21">
        <v>2.3273070778192001E-3</v>
      </c>
      <c r="AH16"/>
      <c r="AI16" s="7" t="s">
        <v>40</v>
      </c>
      <c r="AJ16" s="12" t="s">
        <v>29</v>
      </c>
      <c r="AK16" s="7" t="s">
        <v>24</v>
      </c>
      <c r="AL16" s="30">
        <v>2000000</v>
      </c>
      <c r="AM16" s="28">
        <f>AM11*(1.1/0.8)</f>
        <v>1.4579145728643217</v>
      </c>
      <c r="AN16" s="21">
        <v>0.16950710030388999</v>
      </c>
      <c r="AO16" s="21">
        <v>1.9163896366100901E-3</v>
      </c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</row>
    <row r="17" spans="1:41">
      <c r="A17" s="19"/>
    </row>
    <row r="18" spans="1:41" ht="31">
      <c r="A18" s="33" t="s">
        <v>62</v>
      </c>
    </row>
    <row r="19" spans="1:41">
      <c r="A19" s="19" t="s">
        <v>63</v>
      </c>
    </row>
    <row r="20" spans="1:41">
      <c r="A20" s="34">
        <v>44668</v>
      </c>
      <c r="B20" s="35" t="s">
        <v>54</v>
      </c>
      <c r="C20" s="36" t="s">
        <v>64</v>
      </c>
      <c r="D20" s="38" t="s">
        <v>29</v>
      </c>
      <c r="E20" s="36" t="s">
        <v>22</v>
      </c>
      <c r="F20" s="45">
        <v>19800000</v>
      </c>
      <c r="G20" s="37">
        <v>5</v>
      </c>
      <c r="H20" s="21">
        <v>0.107712285231472</v>
      </c>
      <c r="I20" s="21">
        <v>8.0425674635414696E-3</v>
      </c>
      <c r="K20" s="36" t="s">
        <v>65</v>
      </c>
      <c r="L20" s="38" t="s">
        <v>29</v>
      </c>
      <c r="M20" s="36" t="s">
        <v>22</v>
      </c>
      <c r="N20" s="45">
        <v>5540000</v>
      </c>
      <c r="O20" s="37">
        <v>5</v>
      </c>
      <c r="P20" s="21">
        <v>0.149176567597057</v>
      </c>
      <c r="Q20" s="21">
        <v>4.6440205913524301E-3</v>
      </c>
      <c r="S20" s="36" t="s">
        <v>66</v>
      </c>
      <c r="T20" s="38" t="s">
        <v>29</v>
      </c>
      <c r="U20" s="36" t="s">
        <v>22</v>
      </c>
      <c r="V20" s="45">
        <v>2950000</v>
      </c>
      <c r="W20" s="37">
        <v>5</v>
      </c>
      <c r="X20" s="21">
        <v>0.15051126854191499</v>
      </c>
      <c r="Y20" s="21">
        <v>3.26896477360003E-3</v>
      </c>
      <c r="AA20" s="36" t="s">
        <v>67</v>
      </c>
      <c r="AB20" s="38" t="s">
        <v>29</v>
      </c>
      <c r="AC20" s="36" t="s">
        <v>24</v>
      </c>
      <c r="AD20" s="45">
        <v>4960000</v>
      </c>
      <c r="AE20" s="37">
        <v>5</v>
      </c>
      <c r="AF20" s="21">
        <v>0.16940595495474201</v>
      </c>
      <c r="AG20" s="21">
        <v>1.85990537046101E-3</v>
      </c>
      <c r="AI20" s="36" t="s">
        <v>68</v>
      </c>
      <c r="AJ20" s="38" t="s">
        <v>29</v>
      </c>
      <c r="AK20" s="36" t="s">
        <v>24</v>
      </c>
      <c r="AL20" s="45">
        <v>4080000</v>
      </c>
      <c r="AM20" s="37">
        <v>5</v>
      </c>
      <c r="AN20" s="21">
        <v>0.16991581214191601</v>
      </c>
      <c r="AO20" s="21">
        <v>1.99141446186609E-3</v>
      </c>
    </row>
    <row r="21" spans="1:41">
      <c r="A21" s="34">
        <v>44668</v>
      </c>
      <c r="B21" s="35" t="s">
        <v>57</v>
      </c>
      <c r="C21" s="36" t="s">
        <v>64</v>
      </c>
      <c r="D21" s="38" t="s">
        <v>29</v>
      </c>
      <c r="E21" s="36" t="s">
        <v>22</v>
      </c>
      <c r="F21" s="45">
        <v>670000</v>
      </c>
      <c r="G21" s="37">
        <f>F21/F20*G20</f>
        <v>0.1691919191919192</v>
      </c>
      <c r="H21" s="21">
        <v>0.109190971822458</v>
      </c>
      <c r="I21" s="21">
        <v>5.3251017011009096E-3</v>
      </c>
      <c r="K21" s="36" t="s">
        <v>65</v>
      </c>
      <c r="L21" s="38" t="s">
        <v>29</v>
      </c>
      <c r="M21" s="36" t="s">
        <v>22</v>
      </c>
      <c r="N21" s="45">
        <v>113000</v>
      </c>
      <c r="O21" s="37">
        <f>N21/N20*O20</f>
        <v>0.101985559566787</v>
      </c>
      <c r="P21" s="21">
        <v>0.149213535608436</v>
      </c>
      <c r="Q21" s="21">
        <v>4.6360555807570102E-3</v>
      </c>
      <c r="S21" s="36" t="s">
        <v>66</v>
      </c>
      <c r="T21" s="38" t="s">
        <v>29</v>
      </c>
      <c r="U21" s="36" t="s">
        <v>22</v>
      </c>
      <c r="V21" s="45">
        <v>54400</v>
      </c>
      <c r="W21" s="37">
        <f>V21/V20*W20</f>
        <v>9.2203389830508464E-2</v>
      </c>
      <c r="X21" s="21">
        <v>0.150956003081718</v>
      </c>
      <c r="Y21" s="21">
        <v>3.8069622559348398E-3</v>
      </c>
      <c r="AA21" s="36" t="s">
        <v>67</v>
      </c>
      <c r="AB21" s="38" t="s">
        <v>29</v>
      </c>
      <c r="AC21" s="36" t="s">
        <v>24</v>
      </c>
      <c r="AD21" s="45">
        <v>380000</v>
      </c>
      <c r="AE21" s="37">
        <f>AD21/AD20*AE20</f>
        <v>0.38306451612903225</v>
      </c>
      <c r="AF21" s="21">
        <v>0.16925618830670999</v>
      </c>
      <c r="AG21" s="21">
        <v>2.5403301284252998E-3</v>
      </c>
      <c r="AI21" s="36" t="s">
        <v>68</v>
      </c>
      <c r="AJ21" s="38" t="s">
        <v>29</v>
      </c>
      <c r="AK21" s="36" t="s">
        <v>24</v>
      </c>
      <c r="AL21" s="45">
        <v>1530000</v>
      </c>
      <c r="AM21" s="37">
        <f>AL21/AL20*AM20</f>
        <v>1.875</v>
      </c>
      <c r="AN21" s="21">
        <v>0.16901113152545</v>
      </c>
      <c r="AO21" s="21">
        <v>2.04237001868761E-3</v>
      </c>
    </row>
    <row r="22" spans="1:41">
      <c r="A22" s="34">
        <v>44668</v>
      </c>
      <c r="B22" s="35" t="s">
        <v>53</v>
      </c>
      <c r="C22" s="36" t="s">
        <v>64</v>
      </c>
      <c r="D22" s="38" t="s">
        <v>29</v>
      </c>
      <c r="E22" s="36" t="s">
        <v>22</v>
      </c>
      <c r="F22" s="45">
        <v>131000</v>
      </c>
      <c r="G22" s="37">
        <f>F22/F21*G21</f>
        <v>3.3080808080808079E-2</v>
      </c>
      <c r="H22" s="21">
        <v>0.10814802469809399</v>
      </c>
      <c r="I22" s="21">
        <v>7.5064559619208802E-3</v>
      </c>
      <c r="K22" s="36" t="s">
        <v>65</v>
      </c>
      <c r="L22" s="38" t="s">
        <v>29</v>
      </c>
      <c r="M22" s="36" t="s">
        <v>22</v>
      </c>
      <c r="N22" s="45">
        <v>25400</v>
      </c>
      <c r="O22" s="37">
        <f>N22/N21*O21</f>
        <v>2.2924187725631769E-2</v>
      </c>
      <c r="P22" s="21">
        <v>0.15092993736985799</v>
      </c>
      <c r="Q22" s="21">
        <v>7.7771888983931402E-3</v>
      </c>
      <c r="S22" s="36" t="s">
        <v>66</v>
      </c>
      <c r="T22" s="38" t="s">
        <v>29</v>
      </c>
      <c r="U22" s="36" t="s">
        <v>22</v>
      </c>
      <c r="V22" s="45">
        <v>12900</v>
      </c>
      <c r="W22" s="37">
        <f>V22/V21*W21</f>
        <v>2.1864406779661012E-2</v>
      </c>
      <c r="X22" s="21">
        <v>0.15165001553761301</v>
      </c>
      <c r="Y22" s="21">
        <v>8.5000886115316494E-3</v>
      </c>
      <c r="AA22" s="36" t="s">
        <v>67</v>
      </c>
      <c r="AB22" s="38" t="s">
        <v>29</v>
      </c>
      <c r="AC22" s="36" t="s">
        <v>24</v>
      </c>
      <c r="AD22" s="45">
        <v>152000</v>
      </c>
      <c r="AE22" s="37">
        <f>AD22/AD21*AE21</f>
        <v>0.15322580645161291</v>
      </c>
      <c r="AF22" s="21">
        <v>0.17082979195693301</v>
      </c>
      <c r="AG22" s="21">
        <v>4.9225845799614303E-3</v>
      </c>
      <c r="AI22" s="36" t="s">
        <v>68</v>
      </c>
      <c r="AJ22" s="38" t="s">
        <v>29</v>
      </c>
      <c r="AK22" s="36" t="s">
        <v>24</v>
      </c>
      <c r="AL22" s="45">
        <v>469000</v>
      </c>
      <c r="AM22" s="37">
        <f>AL22/AL21*AM21</f>
        <v>0.57475490196078438</v>
      </c>
      <c r="AN22" s="21">
        <v>0.17007360728265</v>
      </c>
      <c r="AO22" s="21">
        <v>3.4872618079261502E-3</v>
      </c>
    </row>
    <row r="23" spans="1:41">
      <c r="A23" s="34">
        <v>44668</v>
      </c>
      <c r="B23" s="35" t="s">
        <v>60</v>
      </c>
      <c r="C23" s="36" t="s">
        <v>64</v>
      </c>
      <c r="D23" s="38" t="s">
        <v>29</v>
      </c>
      <c r="E23" s="39" t="s">
        <v>22</v>
      </c>
      <c r="F23" s="36"/>
      <c r="G23" s="37"/>
      <c r="H23" s="21">
        <v>0.10916528934169301</v>
      </c>
      <c r="I23" s="21">
        <v>4.99509594114852E-3</v>
      </c>
      <c r="K23" s="36" t="s">
        <v>65</v>
      </c>
      <c r="L23" s="38" t="s">
        <v>29</v>
      </c>
      <c r="M23" s="36" t="s">
        <v>22</v>
      </c>
      <c r="N23" s="36"/>
      <c r="O23" s="37"/>
      <c r="P23" s="21">
        <v>0.15106658626299599</v>
      </c>
      <c r="Q23" s="21">
        <v>8.4751681814315798E-3</v>
      </c>
      <c r="S23" s="36" t="s">
        <v>66</v>
      </c>
      <c r="T23" s="38" t="s">
        <v>29</v>
      </c>
      <c r="U23" s="36" t="s">
        <v>22</v>
      </c>
      <c r="V23" s="45"/>
      <c r="W23" s="37"/>
      <c r="X23" s="21">
        <v>0.15037373119819999</v>
      </c>
      <c r="Y23" s="21">
        <v>4.5674881315074904E-3</v>
      </c>
      <c r="AA23" s="36" t="s">
        <v>67</v>
      </c>
      <c r="AB23" s="38" t="s">
        <v>29</v>
      </c>
      <c r="AC23" s="36" t="s">
        <v>24</v>
      </c>
      <c r="AD23" s="36"/>
      <c r="AE23" s="37"/>
      <c r="AF23" s="21">
        <v>0.16876461144514501</v>
      </c>
      <c r="AG23" s="21">
        <v>3.9593904653499896E-3</v>
      </c>
      <c r="AI23" s="36" t="s">
        <v>68</v>
      </c>
      <c r="AJ23" s="38" t="s">
        <v>29</v>
      </c>
      <c r="AK23" s="36" t="s">
        <v>24</v>
      </c>
      <c r="AL23" s="36"/>
      <c r="AM23" s="37"/>
      <c r="AN23" s="21">
        <v>0.17017299707108399</v>
      </c>
      <c r="AO23" s="21">
        <v>2.1986963860442499E-3</v>
      </c>
    </row>
    <row r="24" spans="1:41">
      <c r="A24" s="34">
        <v>44668</v>
      </c>
      <c r="B24" s="35" t="s">
        <v>58</v>
      </c>
      <c r="C24" s="36" t="s">
        <v>64</v>
      </c>
      <c r="D24" s="38" t="s">
        <v>29</v>
      </c>
      <c r="E24" s="39" t="s">
        <v>22</v>
      </c>
      <c r="F24" s="45">
        <v>228000</v>
      </c>
      <c r="G24" s="37">
        <f>F24/F21*G21</f>
        <v>5.7575757575757579E-2</v>
      </c>
      <c r="H24" s="21">
        <v>0.109126862225673</v>
      </c>
      <c r="I24" s="21">
        <v>7.4246527019216496E-3</v>
      </c>
      <c r="K24" s="36" t="s">
        <v>65</v>
      </c>
      <c r="L24" s="38" t="s">
        <v>29</v>
      </c>
      <c r="M24" s="36" t="s">
        <v>22</v>
      </c>
      <c r="N24" s="45">
        <v>45500</v>
      </c>
      <c r="O24" s="37">
        <f>N24/N21*O21</f>
        <v>4.1064981949458484E-2</v>
      </c>
      <c r="P24" s="21">
        <v>0.152152088474208</v>
      </c>
      <c r="Q24" s="21">
        <v>5.9653992037501302E-3</v>
      </c>
      <c r="S24" s="36" t="s">
        <v>66</v>
      </c>
      <c r="T24" s="38" t="s">
        <v>29</v>
      </c>
      <c r="U24" s="36" t="s">
        <v>22</v>
      </c>
      <c r="V24" s="45">
        <v>20800</v>
      </c>
      <c r="W24" s="37">
        <f>V24/V21*W21</f>
        <v>3.5254237288135586E-2</v>
      </c>
      <c r="X24" s="21">
        <v>0.15100973322307301</v>
      </c>
      <c r="Y24" s="21">
        <v>7.0306673066036903E-3</v>
      </c>
      <c r="AA24" s="36" t="s">
        <v>67</v>
      </c>
      <c r="AB24" s="38" t="s">
        <v>29</v>
      </c>
      <c r="AC24" s="36" t="s">
        <v>24</v>
      </c>
      <c r="AD24" s="45">
        <v>300000</v>
      </c>
      <c r="AE24" s="37">
        <f>AD24/AD21*AE21</f>
        <v>0.30241935483870969</v>
      </c>
      <c r="AF24" s="21">
        <v>0.17148153110257999</v>
      </c>
      <c r="AG24" s="21">
        <v>3.5866308049730899E-3</v>
      </c>
      <c r="AI24" s="36" t="s">
        <v>68</v>
      </c>
      <c r="AJ24" s="38" t="s">
        <v>29</v>
      </c>
      <c r="AK24" s="36" t="s">
        <v>24</v>
      </c>
      <c r="AL24" s="45">
        <v>922000</v>
      </c>
      <c r="AM24" s="37">
        <f>AL24/AL21*AM21</f>
        <v>1.1299019607843137</v>
      </c>
      <c r="AN24" s="21">
        <v>0.16944265275338299</v>
      </c>
      <c r="AO24" s="21">
        <v>3.2256921086235499E-3</v>
      </c>
    </row>
    <row r="25" spans="1:41">
      <c r="A25" s="34">
        <v>44668</v>
      </c>
      <c r="B25" s="35" t="s">
        <v>55</v>
      </c>
      <c r="C25" s="36" t="s">
        <v>64</v>
      </c>
      <c r="D25" s="38" t="s">
        <v>29</v>
      </c>
      <c r="E25" s="39" t="s">
        <v>22</v>
      </c>
      <c r="F25" s="36"/>
      <c r="G25" s="37"/>
      <c r="H25" s="21">
        <v>0.107195259897164</v>
      </c>
      <c r="I25" s="21">
        <v>5.8188965356427797E-3</v>
      </c>
      <c r="K25" s="36" t="s">
        <v>65</v>
      </c>
      <c r="L25" s="38" t="s">
        <v>29</v>
      </c>
      <c r="M25" s="36" t="s">
        <v>22</v>
      </c>
      <c r="N25" s="36"/>
      <c r="O25" s="37"/>
      <c r="P25" s="21">
        <v>0.152543008315317</v>
      </c>
      <c r="Q25" s="21">
        <v>4.2023644178769198E-3</v>
      </c>
      <c r="S25" s="36" t="s">
        <v>66</v>
      </c>
      <c r="T25" s="38" t="s">
        <v>29</v>
      </c>
      <c r="U25" s="36" t="s">
        <v>22</v>
      </c>
      <c r="V25" s="36"/>
      <c r="W25" s="37"/>
      <c r="X25" s="21">
        <v>0.15107654898897799</v>
      </c>
      <c r="Y25" s="21">
        <v>3.4395311876417702E-3</v>
      </c>
      <c r="AA25" s="36" t="s">
        <v>67</v>
      </c>
      <c r="AB25" s="38" t="s">
        <v>29</v>
      </c>
      <c r="AC25" s="36" t="s">
        <v>24</v>
      </c>
      <c r="AD25" s="36"/>
      <c r="AE25" s="37"/>
      <c r="AF25" s="21">
        <v>0.16895550743371501</v>
      </c>
      <c r="AG25" s="21">
        <v>2.28614093469536E-3</v>
      </c>
      <c r="AI25" s="36" t="s">
        <v>68</v>
      </c>
      <c r="AJ25" s="38" t="s">
        <v>29</v>
      </c>
      <c r="AK25" s="36" t="s">
        <v>24</v>
      </c>
      <c r="AL25" s="36"/>
      <c r="AM25" s="37"/>
      <c r="AN25" s="21">
        <v>0.16978105645264899</v>
      </c>
      <c r="AO25" s="21">
        <v>2.1732909686946601E-3</v>
      </c>
    </row>
    <row r="26" spans="1:41">
      <c r="A26" s="34">
        <v>44668</v>
      </c>
      <c r="B26" s="35" t="s">
        <v>59</v>
      </c>
      <c r="C26" s="36" t="s">
        <v>64</v>
      </c>
      <c r="D26" s="38" t="s">
        <v>29</v>
      </c>
      <c r="E26" s="39" t="s">
        <v>22</v>
      </c>
      <c r="F26" s="36"/>
      <c r="G26" s="37"/>
      <c r="H26" s="21">
        <v>0.109001084190786</v>
      </c>
      <c r="I26" s="21">
        <v>7.20517888625771E-3</v>
      </c>
      <c r="K26" s="36" t="s">
        <v>65</v>
      </c>
      <c r="L26" s="38" t="s">
        <v>29</v>
      </c>
      <c r="M26" s="36" t="s">
        <v>22</v>
      </c>
      <c r="N26" s="36"/>
      <c r="O26" s="37"/>
      <c r="P26" s="21">
        <v>0.152868320003891</v>
      </c>
      <c r="Q26" s="21">
        <v>5.3097357441922498E-3</v>
      </c>
      <c r="S26" s="36" t="s">
        <v>66</v>
      </c>
      <c r="T26" s="38" t="s">
        <v>29</v>
      </c>
      <c r="U26" s="36" t="s">
        <v>22</v>
      </c>
      <c r="V26" s="36"/>
      <c r="W26" s="37"/>
      <c r="X26" s="21">
        <v>0.151931279086233</v>
      </c>
      <c r="Y26" s="21">
        <v>6.4759385896500698E-3</v>
      </c>
      <c r="AA26" s="36" t="s">
        <v>67</v>
      </c>
      <c r="AB26" s="38" t="s">
        <v>29</v>
      </c>
      <c r="AC26" s="36" t="s">
        <v>24</v>
      </c>
      <c r="AD26" s="36"/>
      <c r="AE26" s="37"/>
      <c r="AF26" s="21">
        <v>0.17001378937408401</v>
      </c>
      <c r="AG26" s="21">
        <v>3.4170763674800401E-3</v>
      </c>
      <c r="AI26" s="36" t="s">
        <v>68</v>
      </c>
      <c r="AJ26" s="38" t="s">
        <v>29</v>
      </c>
      <c r="AK26" s="36" t="s">
        <v>24</v>
      </c>
      <c r="AL26" s="36"/>
      <c r="AM26" s="37"/>
      <c r="AN26" s="21">
        <v>0.16992762484811499</v>
      </c>
      <c r="AO26" s="21">
        <v>3.1017128992043399E-3</v>
      </c>
    </row>
    <row r="27" spans="1:41">
      <c r="A27" s="34">
        <v>44668</v>
      </c>
      <c r="B27" s="35" t="s">
        <v>61</v>
      </c>
      <c r="C27" s="36" t="s">
        <v>64</v>
      </c>
      <c r="D27" s="38" t="s">
        <v>29</v>
      </c>
      <c r="E27" s="39" t="s">
        <v>22</v>
      </c>
      <c r="F27" s="36"/>
      <c r="G27" s="37"/>
      <c r="H27" s="21">
        <v>0.10803553408147</v>
      </c>
      <c r="I27" s="21">
        <v>4.9043377834522396E-3</v>
      </c>
      <c r="K27" s="36" t="s">
        <v>65</v>
      </c>
      <c r="L27" s="38" t="s">
        <v>29</v>
      </c>
      <c r="M27" s="36" t="s">
        <v>22</v>
      </c>
      <c r="N27" s="36"/>
      <c r="O27" s="37"/>
      <c r="P27" s="21">
        <v>0.14997468709849099</v>
      </c>
      <c r="Q27" s="21">
        <v>5.4407083718557899E-3</v>
      </c>
      <c r="S27" s="36" t="s">
        <v>66</v>
      </c>
      <c r="T27" s="38" t="s">
        <v>29</v>
      </c>
      <c r="U27" s="36" t="s">
        <v>22</v>
      </c>
      <c r="V27" s="36"/>
      <c r="W27" s="37"/>
      <c r="X27" s="21">
        <v>0.15023887942924699</v>
      </c>
      <c r="Y27" s="21">
        <v>4.1365648173455104E-3</v>
      </c>
      <c r="AA27" s="36" t="s">
        <v>67</v>
      </c>
      <c r="AB27" s="38" t="s">
        <v>29</v>
      </c>
      <c r="AC27" s="36" t="s">
        <v>24</v>
      </c>
      <c r="AD27" s="36"/>
      <c r="AE27" s="37"/>
      <c r="AF27" s="21">
        <v>0.17041511238898699</v>
      </c>
      <c r="AG27" s="21">
        <v>3.07875530372086E-3</v>
      </c>
      <c r="AI27" s="36" t="s">
        <v>68</v>
      </c>
      <c r="AJ27" s="38" t="s">
        <v>29</v>
      </c>
      <c r="AK27" s="36" t="s">
        <v>24</v>
      </c>
      <c r="AL27" s="36"/>
      <c r="AM27" s="37"/>
      <c r="AN27" s="21">
        <v>0.16925285077499</v>
      </c>
      <c r="AO27" s="21">
        <v>2.0535389521304601E-3</v>
      </c>
    </row>
    <row r="28" spans="1:41">
      <c r="A28" s="34">
        <v>44668</v>
      </c>
      <c r="B28" s="35" t="s">
        <v>56</v>
      </c>
      <c r="C28" s="36" t="s">
        <v>64</v>
      </c>
      <c r="D28" s="38" t="s">
        <v>29</v>
      </c>
      <c r="E28" s="39" t="s">
        <v>22</v>
      </c>
      <c r="F28" s="36"/>
      <c r="G28" s="37"/>
      <c r="H28" s="21">
        <v>0.108046249371357</v>
      </c>
      <c r="I28" s="21">
        <v>5.8193782115012497E-3</v>
      </c>
      <c r="K28" s="36" t="s">
        <v>65</v>
      </c>
      <c r="L28" s="38" t="s">
        <v>29</v>
      </c>
      <c r="M28" s="36" t="s">
        <v>22</v>
      </c>
      <c r="N28" s="36"/>
      <c r="O28" s="37"/>
      <c r="P28" s="21">
        <v>0.14938015248803199</v>
      </c>
      <c r="Q28" s="21">
        <v>4.1201071973064798E-3</v>
      </c>
      <c r="S28" s="36" t="s">
        <v>66</v>
      </c>
      <c r="T28" s="38" t="s">
        <v>29</v>
      </c>
      <c r="U28" s="36" t="s">
        <v>22</v>
      </c>
      <c r="V28" s="36"/>
      <c r="W28" s="37"/>
      <c r="X28" s="21">
        <v>0.14941799102602801</v>
      </c>
      <c r="Y28" s="21">
        <v>3.4273474979291101E-3</v>
      </c>
      <c r="AA28" s="36" t="s">
        <v>67</v>
      </c>
      <c r="AB28" s="38" t="s">
        <v>29</v>
      </c>
      <c r="AC28" s="36" t="s">
        <v>24</v>
      </c>
      <c r="AD28" s="36"/>
      <c r="AE28" s="37"/>
      <c r="AF28" s="21">
        <v>0.16997427044125599</v>
      </c>
      <c r="AG28" s="21">
        <v>2.2355140567425899E-3</v>
      </c>
      <c r="AI28" s="36" t="s">
        <v>68</v>
      </c>
      <c r="AJ28" s="38" t="s">
        <v>29</v>
      </c>
      <c r="AK28" s="36" t="s">
        <v>24</v>
      </c>
      <c r="AL28" s="36"/>
      <c r="AM28" s="37"/>
      <c r="AN28" s="21">
        <v>0.16956712648386299</v>
      </c>
      <c r="AO28" s="21">
        <v>2.3626063290896498E-3</v>
      </c>
    </row>
    <row r="29" spans="1:41">
      <c r="A29" s="34">
        <v>44668</v>
      </c>
      <c r="B29" s="35" t="s">
        <v>52</v>
      </c>
      <c r="C29" s="36" t="s">
        <v>64</v>
      </c>
      <c r="D29" s="38" t="s">
        <v>29</v>
      </c>
      <c r="E29" s="39" t="s">
        <v>23</v>
      </c>
      <c r="F29" s="36"/>
      <c r="G29" s="37"/>
      <c r="H29" s="21">
        <v>0.10972875630071</v>
      </c>
      <c r="I29" s="21">
        <v>4.0654835128986697E-3</v>
      </c>
      <c r="K29" s="36" t="s">
        <v>65</v>
      </c>
      <c r="L29" s="38" t="s">
        <v>29</v>
      </c>
      <c r="M29" s="36" t="s">
        <v>22</v>
      </c>
      <c r="N29" s="36"/>
      <c r="O29" s="37"/>
      <c r="P29" s="21">
        <v>0.150852672002949</v>
      </c>
      <c r="Q29" s="21">
        <v>3.8574247635829598E-3</v>
      </c>
      <c r="S29" s="36" t="s">
        <v>66</v>
      </c>
      <c r="T29" s="38" t="s">
        <v>29</v>
      </c>
      <c r="U29" s="36" t="s">
        <v>22</v>
      </c>
      <c r="V29" s="36"/>
      <c r="W29" s="37"/>
      <c r="X29" s="21">
        <v>0.15004490955399</v>
      </c>
      <c r="Y29" s="21">
        <v>3.4176521516319199E-3</v>
      </c>
      <c r="AA29" s="36" t="s">
        <v>67</v>
      </c>
      <c r="AB29" s="38" t="s">
        <v>29</v>
      </c>
      <c r="AC29" s="36" t="s">
        <v>24</v>
      </c>
      <c r="AD29" s="36"/>
      <c r="AE29" s="37"/>
      <c r="AF29" s="21">
        <v>0.169320433361726</v>
      </c>
      <c r="AG29" s="21">
        <v>2.09920814527772E-3</v>
      </c>
      <c r="AI29" s="36" t="s">
        <v>68</v>
      </c>
      <c r="AJ29" s="38" t="s">
        <v>29</v>
      </c>
      <c r="AK29" s="36" t="s">
        <v>24</v>
      </c>
      <c r="AL29" s="36"/>
      <c r="AM29" s="37"/>
      <c r="AN29" s="21">
        <v>0.170353028844447</v>
      </c>
      <c r="AO29" s="21">
        <v>1.9674635591679802E-3</v>
      </c>
    </row>
    <row r="32" spans="1:41" ht="29">
      <c r="A32" s="14" t="s">
        <v>47</v>
      </c>
    </row>
    <row r="33" spans="1:116" ht="18" customHeight="1">
      <c r="A33" s="1" t="s">
        <v>18</v>
      </c>
      <c r="B33" s="1" t="s">
        <v>5</v>
      </c>
      <c r="C33" s="2" t="s">
        <v>9</v>
      </c>
      <c r="D33" s="2" t="s">
        <v>27</v>
      </c>
      <c r="E33" s="2" t="s">
        <v>10</v>
      </c>
      <c r="F33" s="2" t="s">
        <v>49</v>
      </c>
      <c r="G33" s="25" t="s">
        <v>51</v>
      </c>
      <c r="H33" s="2" t="s">
        <v>11</v>
      </c>
      <c r="I33" s="2" t="s">
        <v>48</v>
      </c>
      <c r="J33" s="2"/>
      <c r="K33" s="2" t="s">
        <v>9</v>
      </c>
      <c r="L33" s="2" t="s">
        <v>27</v>
      </c>
      <c r="M33" s="2" t="s">
        <v>10</v>
      </c>
      <c r="N33" s="2" t="s">
        <v>49</v>
      </c>
      <c r="O33" s="25" t="s">
        <v>51</v>
      </c>
      <c r="P33" s="2" t="s">
        <v>11</v>
      </c>
      <c r="Q33" s="2" t="s">
        <v>12</v>
      </c>
      <c r="R33" s="2"/>
      <c r="S33" s="2" t="s">
        <v>9</v>
      </c>
      <c r="T33" s="2" t="s">
        <v>27</v>
      </c>
      <c r="U33" s="2" t="s">
        <v>10</v>
      </c>
      <c r="V33" s="2" t="s">
        <v>49</v>
      </c>
      <c r="W33" s="25" t="s">
        <v>51</v>
      </c>
      <c r="X33" s="2" t="s">
        <v>11</v>
      </c>
      <c r="Y33" s="2" t="s">
        <v>12</v>
      </c>
      <c r="Z33" s="2"/>
      <c r="AA33" s="2" t="s">
        <v>9</v>
      </c>
      <c r="AB33" s="2" t="s">
        <v>27</v>
      </c>
      <c r="AC33" s="2" t="s">
        <v>10</v>
      </c>
      <c r="AD33" s="2" t="s">
        <v>49</v>
      </c>
      <c r="AE33" s="25" t="s">
        <v>51</v>
      </c>
      <c r="AF33" s="2" t="s">
        <v>11</v>
      </c>
      <c r="AG33" s="2" t="s">
        <v>12</v>
      </c>
      <c r="AH33" s="2"/>
      <c r="AI33" s="2" t="s">
        <v>9</v>
      </c>
      <c r="AJ33" s="2" t="s">
        <v>28</v>
      </c>
      <c r="AK33" s="2" t="s">
        <v>10</v>
      </c>
      <c r="AL33" s="2" t="s">
        <v>49</v>
      </c>
      <c r="AM33" s="25" t="s">
        <v>51</v>
      </c>
      <c r="AN33" s="2" t="s">
        <v>11</v>
      </c>
      <c r="AO33" s="2" t="s">
        <v>12</v>
      </c>
    </row>
    <row r="34" spans="1:116">
      <c r="A34" s="8" t="s">
        <v>19</v>
      </c>
      <c r="B34" s="1"/>
      <c r="C34" s="2"/>
      <c r="D34" s="2"/>
      <c r="E34" s="2"/>
      <c r="F34" s="2"/>
      <c r="G34" s="25"/>
      <c r="H34" s="2"/>
      <c r="I34" s="2"/>
      <c r="J34" s="2"/>
      <c r="K34" s="2"/>
      <c r="L34" s="2"/>
      <c r="M34" s="2"/>
      <c r="N34" s="2"/>
      <c r="O34" s="25"/>
      <c r="P34" s="2"/>
      <c r="Q34" s="2"/>
      <c r="R34" s="2"/>
      <c r="S34" s="2"/>
      <c r="T34" s="2"/>
      <c r="U34" s="2"/>
      <c r="V34" s="2"/>
      <c r="W34" s="25"/>
      <c r="X34" s="2"/>
      <c r="Y34" s="2"/>
      <c r="Z34" s="2"/>
      <c r="AA34" s="2"/>
      <c r="AB34" s="2"/>
      <c r="AC34" s="2"/>
      <c r="AD34" s="2"/>
      <c r="AE34" s="25"/>
      <c r="AF34" s="2"/>
      <c r="AG34" s="2"/>
      <c r="AH34" s="2"/>
      <c r="AI34" s="2"/>
      <c r="AK34" s="2"/>
      <c r="AL34" s="2"/>
      <c r="AM34" s="25"/>
      <c r="AN34" s="2"/>
      <c r="AO34" s="2"/>
    </row>
    <row r="35" spans="1:116" s="5" customFormat="1">
      <c r="A35" s="10" t="s">
        <v>25</v>
      </c>
      <c r="B35" s="10"/>
      <c r="C35" s="11"/>
      <c r="D35" s="11"/>
      <c r="E35" s="11"/>
      <c r="F35" s="11"/>
      <c r="G35" s="26"/>
      <c r="H35" s="11"/>
      <c r="I35" s="11"/>
      <c r="J35" s="2"/>
      <c r="K35" s="11"/>
      <c r="L35" s="11"/>
      <c r="M35" s="11"/>
      <c r="N35" s="11"/>
      <c r="O35" s="26"/>
      <c r="P35" s="11"/>
      <c r="Q35" s="11"/>
      <c r="R35" s="2"/>
      <c r="S35" s="11"/>
      <c r="T35" s="11"/>
      <c r="U35" s="11"/>
      <c r="V35" s="11"/>
      <c r="W35" s="26"/>
      <c r="X35" s="11"/>
      <c r="Y35" s="11"/>
      <c r="Z35" s="2"/>
      <c r="AA35" s="11"/>
      <c r="AB35" s="11"/>
      <c r="AC35" s="11"/>
      <c r="AD35" s="11"/>
      <c r="AE35" s="26"/>
      <c r="AF35" s="11"/>
      <c r="AG35" s="11"/>
      <c r="AH35" s="2"/>
      <c r="AI35" s="11"/>
      <c r="AJ35" s="11"/>
      <c r="AK35" s="11"/>
      <c r="AL35" s="11"/>
      <c r="AM35" s="26"/>
      <c r="AN35" s="11"/>
      <c r="AO35" s="11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</row>
    <row r="36" spans="1:116" s="5" customFormat="1">
      <c r="A36" s="4">
        <v>44666</v>
      </c>
      <c r="B36" s="5" t="s">
        <v>1</v>
      </c>
      <c r="C36" s="5" t="s">
        <v>13</v>
      </c>
      <c r="D36" s="5" t="s">
        <v>31</v>
      </c>
      <c r="E36" s="5" t="s">
        <v>21</v>
      </c>
      <c r="F36" s="31" t="s">
        <v>29</v>
      </c>
      <c r="G36" s="31" t="s">
        <v>29</v>
      </c>
      <c r="H36" s="21">
        <v>4.3171445610945599E-3</v>
      </c>
      <c r="I36" s="21">
        <v>3.8329366684585003E-2</v>
      </c>
      <c r="J36"/>
      <c r="K36" s="5" t="s">
        <v>14</v>
      </c>
      <c r="L36" s="5" t="s">
        <v>32</v>
      </c>
      <c r="M36" s="5" t="s">
        <v>21</v>
      </c>
      <c r="N36" s="31" t="s">
        <v>29</v>
      </c>
      <c r="O36" s="31" t="s">
        <v>29</v>
      </c>
      <c r="P36" s="21">
        <v>1.0077265059668701E-2</v>
      </c>
      <c r="Q36" s="21">
        <v>1.7295997968623401E-2</v>
      </c>
      <c r="R36"/>
      <c r="S36" s="5" t="s">
        <v>15</v>
      </c>
      <c r="T36" s="5" t="s">
        <v>33</v>
      </c>
      <c r="U36" s="5" t="s">
        <v>21</v>
      </c>
      <c r="V36" s="31" t="s">
        <v>29</v>
      </c>
      <c r="W36" s="31" t="s">
        <v>29</v>
      </c>
      <c r="X36" s="21">
        <v>1.01286251145649E-2</v>
      </c>
      <c r="Y36" s="21">
        <v>9.0998845878605492E-3</v>
      </c>
      <c r="Z36"/>
      <c r="AA36" s="5" t="s">
        <v>16</v>
      </c>
      <c r="AB36" s="5" t="s">
        <v>34</v>
      </c>
      <c r="AC36" s="5" t="s">
        <v>21</v>
      </c>
      <c r="AD36" s="31" t="s">
        <v>29</v>
      </c>
      <c r="AE36" s="31" t="s">
        <v>29</v>
      </c>
      <c r="AF36" s="21">
        <v>1.3050039813314001E-2</v>
      </c>
      <c r="AG36" s="21">
        <v>1.0928721163814799E-2</v>
      </c>
      <c r="AH36"/>
      <c r="AI36" s="5" t="s">
        <v>17</v>
      </c>
      <c r="AJ36" s="5" t="s">
        <v>35</v>
      </c>
      <c r="AK36" s="5" t="s">
        <v>21</v>
      </c>
      <c r="AL36" s="31" t="s">
        <v>29</v>
      </c>
      <c r="AM36" s="31" t="s">
        <v>29</v>
      </c>
      <c r="AN36" s="21">
        <v>1.31736202578019E-2</v>
      </c>
      <c r="AO36" s="21">
        <v>1.0717489986075499E-2</v>
      </c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</row>
    <row r="37" spans="1:116" s="5" customFormat="1">
      <c r="A37" s="4">
        <v>44666</v>
      </c>
      <c r="B37" s="5" t="s">
        <v>0</v>
      </c>
      <c r="C37" s="5" t="s">
        <v>13</v>
      </c>
      <c r="D37" s="5" t="s">
        <v>31</v>
      </c>
      <c r="E37" s="5" t="s">
        <v>21</v>
      </c>
      <c r="F37" s="31" t="s">
        <v>29</v>
      </c>
      <c r="G37" s="31" t="s">
        <v>29</v>
      </c>
      <c r="H37" s="21">
        <v>4.4758777544332901E-4</v>
      </c>
      <c r="I37" s="21">
        <v>0.38917452329736701</v>
      </c>
      <c r="J37"/>
      <c r="K37" s="5" t="s">
        <v>14</v>
      </c>
      <c r="L37" s="5" t="s">
        <v>32</v>
      </c>
      <c r="M37" s="5" t="s">
        <v>21</v>
      </c>
      <c r="N37" s="31" t="s">
        <v>29</v>
      </c>
      <c r="O37" s="31" t="s">
        <v>29</v>
      </c>
      <c r="P37" s="21">
        <v>4.9079634742790897E-4</v>
      </c>
      <c r="Q37" s="21">
        <v>0.34007531715751199</v>
      </c>
      <c r="R37"/>
      <c r="S37" s="5" t="s">
        <v>15</v>
      </c>
      <c r="T37" s="5" t="s">
        <v>33</v>
      </c>
      <c r="U37" s="5" t="s">
        <v>21</v>
      </c>
      <c r="V37" s="31" t="s">
        <v>29</v>
      </c>
      <c r="W37" s="31" t="s">
        <v>29</v>
      </c>
      <c r="X37" s="21">
        <v>8.1552465720255798E-4</v>
      </c>
      <c r="Y37" s="21">
        <v>0.162597856976925</v>
      </c>
      <c r="Z37"/>
      <c r="AA37" s="5" t="s">
        <v>16</v>
      </c>
      <c r="AB37" s="5" t="s">
        <v>34</v>
      </c>
      <c r="AC37" s="5" t="s">
        <v>21</v>
      </c>
      <c r="AD37" s="31" t="s">
        <v>29</v>
      </c>
      <c r="AE37" s="31" t="s">
        <v>29</v>
      </c>
      <c r="AF37" s="21">
        <v>1.2208561544636501E-2</v>
      </c>
      <c r="AG37" s="21">
        <v>2.9665092025320298E-2</v>
      </c>
      <c r="AH37"/>
      <c r="AI37" s="5" t="s">
        <v>17</v>
      </c>
      <c r="AJ37" s="5" t="s">
        <v>35</v>
      </c>
      <c r="AK37" s="5" t="s">
        <v>21</v>
      </c>
      <c r="AL37" s="31" t="s">
        <v>29</v>
      </c>
      <c r="AM37" s="31" t="s">
        <v>29</v>
      </c>
      <c r="AN37" s="21">
        <v>1.2837893291133801E-2</v>
      </c>
      <c r="AO37" s="21">
        <v>1.78425390413255E-2</v>
      </c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</row>
    <row r="38" spans="1:116" s="5" customFormat="1">
      <c r="A38" s="4">
        <v>44666</v>
      </c>
      <c r="B38" s="5" t="s">
        <v>2</v>
      </c>
      <c r="C38" s="5" t="s">
        <v>13</v>
      </c>
      <c r="D38" s="5" t="s">
        <v>31</v>
      </c>
      <c r="E38" s="5" t="s">
        <v>21</v>
      </c>
      <c r="F38" s="31" t="s">
        <v>29</v>
      </c>
      <c r="G38" s="31" t="s">
        <v>29</v>
      </c>
      <c r="H38" s="21">
        <v>3.4491371168539802E-3</v>
      </c>
      <c r="I38" s="21">
        <v>5.57833326567099E-2</v>
      </c>
      <c r="J38"/>
      <c r="K38" s="5" t="s">
        <v>14</v>
      </c>
      <c r="L38" s="5" t="s">
        <v>32</v>
      </c>
      <c r="M38" s="5" t="s">
        <v>21</v>
      </c>
      <c r="N38" s="31" t="s">
        <v>29</v>
      </c>
      <c r="O38" s="31" t="s">
        <v>29</v>
      </c>
      <c r="P38" s="21">
        <v>9.1377869807044692E-3</v>
      </c>
      <c r="Q38" s="21">
        <v>2.4929972239914101E-2</v>
      </c>
      <c r="R38"/>
      <c r="S38" s="5" t="s">
        <v>15</v>
      </c>
      <c r="T38" s="5" t="s">
        <v>33</v>
      </c>
      <c r="U38" s="5" t="s">
        <v>21</v>
      </c>
      <c r="V38" s="31" t="s">
        <v>29</v>
      </c>
      <c r="W38" s="31" t="s">
        <v>29</v>
      </c>
      <c r="X38" s="21">
        <v>9.5340016286718007E-3</v>
      </c>
      <c r="Y38" s="21">
        <v>1.7325473193176202E-2</v>
      </c>
      <c r="Z38"/>
      <c r="AA38" s="5" t="s">
        <v>16</v>
      </c>
      <c r="AB38" s="5" t="s">
        <v>34</v>
      </c>
      <c r="AC38" s="5" t="s">
        <v>21</v>
      </c>
      <c r="AD38" s="31" t="s">
        <v>29</v>
      </c>
      <c r="AE38" s="31" t="s">
        <v>29</v>
      </c>
      <c r="AF38" s="21">
        <v>1.29210476687606E-2</v>
      </c>
      <c r="AG38" s="21">
        <v>1.1815551567737601E-2</v>
      </c>
      <c r="AH38"/>
      <c r="AI38" s="5" t="s">
        <v>17</v>
      </c>
      <c r="AJ38" s="5" t="s">
        <v>35</v>
      </c>
      <c r="AK38" s="5" t="s">
        <v>21</v>
      </c>
      <c r="AL38" s="31" t="s">
        <v>29</v>
      </c>
      <c r="AM38" s="31" t="s">
        <v>29</v>
      </c>
      <c r="AN38" s="21">
        <v>1.3025076463353101E-2</v>
      </c>
      <c r="AO38" s="21">
        <v>1.0187075162105199E-2</v>
      </c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</row>
    <row r="39" spans="1:116" s="5" customFormat="1">
      <c r="A39" s="10" t="s">
        <v>26</v>
      </c>
      <c r="F39" s="31"/>
      <c r="G39" s="31"/>
      <c r="J39"/>
      <c r="N39" s="31"/>
      <c r="O39" s="31"/>
      <c r="R39"/>
      <c r="V39" s="31"/>
      <c r="W39" s="31"/>
      <c r="Z39"/>
      <c r="AD39" s="31"/>
      <c r="AE39" s="31"/>
      <c r="AH39"/>
      <c r="AL39" s="31"/>
      <c r="AM39" s="31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</row>
    <row r="40" spans="1:116" s="5" customFormat="1">
      <c r="A40" s="4">
        <v>44667</v>
      </c>
      <c r="B40" s="5" t="s">
        <v>4</v>
      </c>
      <c r="C40" s="5" t="s">
        <v>30</v>
      </c>
      <c r="D40" s="5" t="s">
        <v>31</v>
      </c>
      <c r="E40" s="5" t="s">
        <v>21</v>
      </c>
      <c r="F40" s="31" t="s">
        <v>29</v>
      </c>
      <c r="G40" s="31" t="s">
        <v>29</v>
      </c>
      <c r="H40" s="21">
        <v>4.6602772215628601E-3</v>
      </c>
      <c r="I40" s="21">
        <v>3.5937641542705401E-2</v>
      </c>
      <c r="J40"/>
      <c r="K40" s="5" t="s">
        <v>14</v>
      </c>
      <c r="L40" s="5" t="s">
        <v>32</v>
      </c>
      <c r="M40" s="5" t="s">
        <v>21</v>
      </c>
      <c r="N40" s="31" t="s">
        <v>29</v>
      </c>
      <c r="O40" s="31" t="s">
        <v>29</v>
      </c>
      <c r="P40" s="21">
        <v>9.7908227157078899E-3</v>
      </c>
      <c r="Q40" s="21">
        <v>1.7172636896774E-2</v>
      </c>
      <c r="R40"/>
      <c r="S40" s="5" t="s">
        <v>15</v>
      </c>
      <c r="T40" s="5" t="s">
        <v>33</v>
      </c>
      <c r="U40" s="5" t="s">
        <v>21</v>
      </c>
      <c r="V40" s="31" t="s">
        <v>29</v>
      </c>
      <c r="W40" s="31" t="s">
        <v>29</v>
      </c>
      <c r="X40" s="21">
        <v>1.01717126067298E-2</v>
      </c>
      <c r="Y40" s="21">
        <v>9.4001892922236496E-3</v>
      </c>
      <c r="Z40"/>
      <c r="AA40" s="5" t="s">
        <v>16</v>
      </c>
      <c r="AB40" s="5" t="s">
        <v>34</v>
      </c>
      <c r="AC40" s="5" t="s">
        <v>21</v>
      </c>
      <c r="AD40" s="31" t="s">
        <v>29</v>
      </c>
      <c r="AE40" s="31" t="s">
        <v>29</v>
      </c>
      <c r="AF40" s="21">
        <v>1.27828525366445E-2</v>
      </c>
      <c r="AG40" s="21">
        <v>1.07605569798434E-2</v>
      </c>
      <c r="AH40"/>
      <c r="AI40" s="5" t="s">
        <v>17</v>
      </c>
      <c r="AJ40" s="5" t="s">
        <v>35</v>
      </c>
      <c r="AK40" s="5" t="s">
        <v>21</v>
      </c>
      <c r="AL40" s="31" t="s">
        <v>29</v>
      </c>
      <c r="AM40" s="31" t="s">
        <v>29</v>
      </c>
      <c r="AN40" s="21">
        <v>1.2980442633696101E-2</v>
      </c>
      <c r="AO40" s="21">
        <v>1.02714076936218E-2</v>
      </c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</row>
    <row r="41" spans="1:116" s="5" customFormat="1">
      <c r="A41" s="4">
        <v>44667</v>
      </c>
      <c r="B41" s="5" t="s">
        <v>3</v>
      </c>
      <c r="C41" s="5" t="s">
        <v>30</v>
      </c>
      <c r="D41" s="5" t="s">
        <v>31</v>
      </c>
      <c r="E41" s="5" t="s">
        <v>21</v>
      </c>
      <c r="F41" s="31" t="s">
        <v>29</v>
      </c>
      <c r="G41" s="31" t="s">
        <v>29</v>
      </c>
      <c r="H41" s="21">
        <v>1.70605169894492E-3</v>
      </c>
      <c r="I41" s="21">
        <v>9.5907223485274196E-2</v>
      </c>
      <c r="J41"/>
      <c r="K41" s="5" t="s">
        <v>14</v>
      </c>
      <c r="L41" s="5" t="s">
        <v>32</v>
      </c>
      <c r="M41" s="5" t="s">
        <v>21</v>
      </c>
      <c r="N41" s="31" t="s">
        <v>29</v>
      </c>
      <c r="O41" s="31" t="s">
        <v>29</v>
      </c>
      <c r="P41" s="21">
        <v>1.0228483463556899E-2</v>
      </c>
      <c r="Q41" s="21">
        <v>3.1715742666523702E-2</v>
      </c>
      <c r="R41"/>
      <c r="S41" s="5" t="s">
        <v>15</v>
      </c>
      <c r="T41" s="5" t="s">
        <v>33</v>
      </c>
      <c r="U41" s="5" t="s">
        <v>21</v>
      </c>
      <c r="V41" s="31" t="s">
        <v>29</v>
      </c>
      <c r="W41" s="31" t="s">
        <v>29</v>
      </c>
      <c r="X41" s="21">
        <v>8.5088323363791806E-3</v>
      </c>
      <c r="Y41" s="21">
        <v>2.1230791957623198E-2</v>
      </c>
      <c r="Z41"/>
      <c r="AA41" s="5" t="s">
        <v>16</v>
      </c>
      <c r="AB41" s="5" t="s">
        <v>34</v>
      </c>
      <c r="AC41" s="5" t="s">
        <v>21</v>
      </c>
      <c r="AD41" s="31" t="s">
        <v>29</v>
      </c>
      <c r="AE41" s="31" t="s">
        <v>29</v>
      </c>
      <c r="AF41" s="21">
        <v>1.2866468232211299E-2</v>
      </c>
      <c r="AG41" s="21">
        <v>1.1851981919739E-2</v>
      </c>
      <c r="AH41"/>
      <c r="AI41" s="5" t="s">
        <v>17</v>
      </c>
      <c r="AJ41" s="5" t="s">
        <v>35</v>
      </c>
      <c r="AK41" s="5" t="s">
        <v>21</v>
      </c>
      <c r="AL41" s="31" t="s">
        <v>29</v>
      </c>
      <c r="AM41" s="31" t="s">
        <v>29</v>
      </c>
      <c r="AN41" s="21">
        <v>1.3440642350663201E-2</v>
      </c>
      <c r="AO41" s="21">
        <v>9.5660209332711806E-3</v>
      </c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</row>
    <row r="42" spans="1:116">
      <c r="A42" s="3"/>
      <c r="F42" s="32"/>
      <c r="G42" s="32"/>
      <c r="N42" s="32"/>
      <c r="O42" s="32"/>
      <c r="V42" s="32"/>
      <c r="W42" s="32"/>
      <c r="AD42" s="32"/>
      <c r="AE42" s="32"/>
      <c r="AL42" s="32"/>
      <c r="AM42" s="32"/>
    </row>
    <row r="43" spans="1:116">
      <c r="A43" s="9" t="s">
        <v>20</v>
      </c>
      <c r="F43" s="32"/>
      <c r="G43" s="32"/>
      <c r="N43" s="32"/>
      <c r="O43" s="32"/>
      <c r="V43" s="32"/>
      <c r="W43" s="32"/>
      <c r="AD43" s="32"/>
      <c r="AE43" s="32"/>
      <c r="AL43" s="32"/>
      <c r="AM43" s="32"/>
    </row>
    <row r="44" spans="1:116" s="7" customFormat="1">
      <c r="A44" s="6">
        <v>44667</v>
      </c>
      <c r="B44" s="7" t="s">
        <v>6</v>
      </c>
      <c r="C44" s="7" t="s">
        <v>36</v>
      </c>
      <c r="D44" s="12" t="s">
        <v>29</v>
      </c>
      <c r="E44" s="7" t="s">
        <v>23</v>
      </c>
      <c r="F44" s="12" t="s">
        <v>29</v>
      </c>
      <c r="G44" s="12" t="s">
        <v>29</v>
      </c>
      <c r="H44" s="21">
        <v>5.1325945055104997E-3</v>
      </c>
      <c r="I44" s="21">
        <v>2.5018259823444501E-2</v>
      </c>
      <c r="J44"/>
      <c r="K44" s="7" t="s">
        <v>37</v>
      </c>
      <c r="L44" s="12" t="s">
        <v>29</v>
      </c>
      <c r="M44" s="7" t="s">
        <v>22</v>
      </c>
      <c r="N44" s="12" t="s">
        <v>29</v>
      </c>
      <c r="O44" s="12" t="s">
        <v>29</v>
      </c>
      <c r="P44" s="21">
        <v>9.6755646312312506E-3</v>
      </c>
      <c r="Q44" s="21">
        <v>2.12301598412938E-2</v>
      </c>
      <c r="R44"/>
      <c r="S44" s="7" t="s">
        <v>38</v>
      </c>
      <c r="T44" s="12" t="s">
        <v>29</v>
      </c>
      <c r="U44" s="7" t="s">
        <v>22</v>
      </c>
      <c r="V44" s="12" t="s">
        <v>29</v>
      </c>
      <c r="W44" s="12" t="s">
        <v>29</v>
      </c>
      <c r="X44" s="21">
        <v>9.2843300060589003E-3</v>
      </c>
      <c r="Y44" s="21">
        <v>1.7058798531357101E-2</v>
      </c>
      <c r="Z44"/>
      <c r="AA44" s="7" t="s">
        <v>39</v>
      </c>
      <c r="AB44" s="12" t="s">
        <v>29</v>
      </c>
      <c r="AC44" s="7" t="s">
        <v>21</v>
      </c>
      <c r="AD44" s="12" t="s">
        <v>29</v>
      </c>
      <c r="AE44" s="12" t="s">
        <v>29</v>
      </c>
      <c r="AF44" s="21">
        <v>1.27451977724175E-2</v>
      </c>
      <c r="AG44" s="21">
        <v>1.09805001063188E-2</v>
      </c>
      <c r="AH44"/>
      <c r="AI44" s="7" t="s">
        <v>40</v>
      </c>
      <c r="AJ44" s="12" t="s">
        <v>29</v>
      </c>
      <c r="AK44" s="7" t="s">
        <v>21</v>
      </c>
      <c r="AL44" s="12" t="s">
        <v>29</v>
      </c>
      <c r="AM44" s="12" t="s">
        <v>29</v>
      </c>
      <c r="AN44" s="21">
        <v>1.26394995872109E-2</v>
      </c>
      <c r="AO44" s="21">
        <v>6.9177033667174896E-3</v>
      </c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</row>
    <row r="45" spans="1:116" s="7" customFormat="1">
      <c r="A45" s="6">
        <v>44667</v>
      </c>
      <c r="B45" s="7" t="s">
        <v>7</v>
      </c>
      <c r="C45" s="7" t="s">
        <v>36</v>
      </c>
      <c r="D45" s="12" t="s">
        <v>29</v>
      </c>
      <c r="E45" s="7" t="s">
        <v>22</v>
      </c>
      <c r="F45" s="12" t="s">
        <v>29</v>
      </c>
      <c r="G45" s="12" t="s">
        <v>29</v>
      </c>
      <c r="H45" s="21">
        <v>3.7973876056319601E-3</v>
      </c>
      <c r="I45" s="21">
        <v>3.8784607224700202E-2</v>
      </c>
      <c r="J45"/>
      <c r="K45" s="7" t="s">
        <v>37</v>
      </c>
      <c r="L45" s="12" t="s">
        <v>29</v>
      </c>
      <c r="M45" s="7" t="s">
        <v>22</v>
      </c>
      <c r="N45" s="12" t="s">
        <v>29</v>
      </c>
      <c r="O45" s="12" t="s">
        <v>29</v>
      </c>
      <c r="P45" s="21">
        <v>1.0046109272974099E-2</v>
      </c>
      <c r="Q45" s="21">
        <v>1.6974447511621499E-2</v>
      </c>
      <c r="R45"/>
      <c r="S45" s="7" t="s">
        <v>38</v>
      </c>
      <c r="T45" s="12" t="s">
        <v>29</v>
      </c>
      <c r="U45" s="7" t="s">
        <v>22</v>
      </c>
      <c r="V45" s="12" t="s">
        <v>29</v>
      </c>
      <c r="W45" s="12" t="s">
        <v>29</v>
      </c>
      <c r="X45" s="21">
        <v>1.0328288567804701E-2</v>
      </c>
      <c r="Y45" s="21">
        <v>1.7351942216342099E-2</v>
      </c>
      <c r="Z45"/>
      <c r="AA45" s="7" t="s">
        <v>39</v>
      </c>
      <c r="AB45" s="12" t="s">
        <v>29</v>
      </c>
      <c r="AC45" s="7" t="s">
        <v>24</v>
      </c>
      <c r="AD45" s="12" t="s">
        <v>29</v>
      </c>
      <c r="AE45" s="12" t="s">
        <v>29</v>
      </c>
      <c r="AF45" s="21">
        <v>1.32534408808491E-2</v>
      </c>
      <c r="AG45" s="21">
        <v>1.0088752256041399E-2</v>
      </c>
      <c r="AH45"/>
      <c r="AI45" s="7" t="s">
        <v>40</v>
      </c>
      <c r="AJ45" s="12" t="s">
        <v>29</v>
      </c>
      <c r="AK45" s="7" t="s">
        <v>24</v>
      </c>
      <c r="AL45" s="12" t="s">
        <v>29</v>
      </c>
      <c r="AM45" s="12" t="s">
        <v>29</v>
      </c>
      <c r="AN45" s="21">
        <v>1.2808129251390099E-2</v>
      </c>
      <c r="AO45" s="21">
        <v>1.0284036743749199E-2</v>
      </c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</row>
    <row r="46" spans="1:116" s="7" customFormat="1">
      <c r="A46" s="6">
        <v>44667</v>
      </c>
      <c r="B46" s="7" t="s">
        <v>8</v>
      </c>
      <c r="C46" s="7" t="s">
        <v>36</v>
      </c>
      <c r="D46" s="12" t="s">
        <v>29</v>
      </c>
      <c r="E46" s="7" t="s">
        <v>22</v>
      </c>
      <c r="F46" s="12" t="s">
        <v>29</v>
      </c>
      <c r="G46" s="12" t="s">
        <v>29</v>
      </c>
      <c r="H46" s="21">
        <v>4.5392387391668901E-3</v>
      </c>
      <c r="I46" s="21">
        <v>2.3902601901748501E-2</v>
      </c>
      <c r="J46"/>
      <c r="K46" s="7" t="s">
        <v>37</v>
      </c>
      <c r="L46" s="12" t="s">
        <v>29</v>
      </c>
      <c r="M46" s="7" t="s">
        <v>22</v>
      </c>
      <c r="N46" s="12" t="s">
        <v>29</v>
      </c>
      <c r="O46" s="12" t="s">
        <v>29</v>
      </c>
      <c r="P46" s="21">
        <v>1.01684196989155E-2</v>
      </c>
      <c r="Q46" s="21">
        <v>2.06362036199218E-2</v>
      </c>
      <c r="R46"/>
      <c r="S46" s="7" t="s">
        <v>38</v>
      </c>
      <c r="T46" s="12" t="s">
        <v>29</v>
      </c>
      <c r="U46" s="7" t="s">
        <v>22</v>
      </c>
      <c r="V46" s="12" t="s">
        <v>29</v>
      </c>
      <c r="W46" s="12" t="s">
        <v>29</v>
      </c>
      <c r="X46" s="21">
        <v>9.6287512304613094E-3</v>
      </c>
      <c r="Y46" s="21">
        <v>1.3714540931614E-2</v>
      </c>
      <c r="Z46"/>
      <c r="AA46" s="7" t="s">
        <v>39</v>
      </c>
      <c r="AB46" s="12" t="s">
        <v>29</v>
      </c>
      <c r="AC46" s="7" t="s">
        <v>24</v>
      </c>
      <c r="AD46" s="12" t="s">
        <v>29</v>
      </c>
      <c r="AE46" s="12" t="s">
        <v>29</v>
      </c>
      <c r="AF46" s="21">
        <v>1.27297893374301E-2</v>
      </c>
      <c r="AG46" s="21">
        <v>7.9067926868626303E-3</v>
      </c>
      <c r="AH46"/>
      <c r="AI46" s="7" t="s">
        <v>40</v>
      </c>
      <c r="AJ46" s="12" t="s">
        <v>29</v>
      </c>
      <c r="AK46" s="7" t="s">
        <v>24</v>
      </c>
      <c r="AL46" s="12" t="s">
        <v>29</v>
      </c>
      <c r="AM46" s="12" t="s">
        <v>29</v>
      </c>
      <c r="AN46" s="21">
        <v>1.2519838541036299E-2</v>
      </c>
      <c r="AO46" s="21">
        <v>6.5611314087363499E-3</v>
      </c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</row>
    <row r="48" spans="1:116" ht="31">
      <c r="A48" s="33" t="s">
        <v>62</v>
      </c>
    </row>
    <row r="49" spans="1:116">
      <c r="A49" s="34">
        <v>44668</v>
      </c>
      <c r="B49" s="35" t="s">
        <v>54</v>
      </c>
      <c r="C49" s="36" t="s">
        <v>64</v>
      </c>
      <c r="D49" s="38" t="s">
        <v>29</v>
      </c>
      <c r="E49" s="36" t="s">
        <v>22</v>
      </c>
      <c r="F49" s="38" t="s">
        <v>29</v>
      </c>
      <c r="G49" s="38" t="s">
        <v>29</v>
      </c>
      <c r="H49" s="21">
        <v>4.7368568442720301E-3</v>
      </c>
      <c r="I49" s="21">
        <v>3.65253918169645E-2</v>
      </c>
      <c r="K49" s="36" t="s">
        <v>65</v>
      </c>
      <c r="L49" s="38" t="s">
        <v>29</v>
      </c>
      <c r="M49" s="36" t="s">
        <v>22</v>
      </c>
      <c r="N49" s="38" t="s">
        <v>29</v>
      </c>
      <c r="O49" s="38" t="s">
        <v>29</v>
      </c>
      <c r="P49" s="21">
        <v>9.5262277533772807E-3</v>
      </c>
      <c r="Q49" s="21">
        <v>1.7224609466549301E-2</v>
      </c>
      <c r="S49" s="36" t="s">
        <v>66</v>
      </c>
      <c r="T49" s="38" t="s">
        <v>29</v>
      </c>
      <c r="U49" s="36" t="s">
        <v>22</v>
      </c>
      <c r="V49" s="38" t="s">
        <v>29</v>
      </c>
      <c r="W49" s="38" t="s">
        <v>29</v>
      </c>
      <c r="X49" s="21">
        <v>9.6177382846917795E-3</v>
      </c>
      <c r="Y49" s="21">
        <v>1.2114104591110101E-2</v>
      </c>
      <c r="AA49" s="36" t="s">
        <v>67</v>
      </c>
      <c r="AB49" s="38" t="s">
        <v>29</v>
      </c>
      <c r="AC49" s="36" t="s">
        <v>24</v>
      </c>
      <c r="AD49" s="38" t="s">
        <v>29</v>
      </c>
      <c r="AE49" s="38" t="s">
        <v>29</v>
      </c>
      <c r="AF49" s="21">
        <v>1.2773035674506199E-2</v>
      </c>
      <c r="AG49" s="21">
        <v>6.3034967995064901E-3</v>
      </c>
      <c r="AI49" s="36" t="s">
        <v>68</v>
      </c>
      <c r="AJ49" s="38" t="s">
        <v>29</v>
      </c>
      <c r="AK49" s="36" t="s">
        <v>24</v>
      </c>
      <c r="AL49" s="38" t="s">
        <v>29</v>
      </c>
      <c r="AM49" s="38" t="s">
        <v>29</v>
      </c>
      <c r="AN49" s="21">
        <v>1.26112891412018E-2</v>
      </c>
      <c r="AO49" s="21">
        <v>6.8005320239244299E-3</v>
      </c>
    </row>
    <row r="50" spans="1:116">
      <c r="A50" s="34">
        <v>44668</v>
      </c>
      <c r="B50" s="35" t="s">
        <v>57</v>
      </c>
      <c r="C50" s="36" t="s">
        <v>64</v>
      </c>
      <c r="D50" s="38" t="s">
        <v>29</v>
      </c>
      <c r="E50" s="36" t="s">
        <v>22</v>
      </c>
      <c r="F50" s="38" t="s">
        <v>29</v>
      </c>
      <c r="G50" s="38" t="s">
        <v>29</v>
      </c>
      <c r="H50" s="21">
        <v>4.7422889473136302E-3</v>
      </c>
      <c r="I50" s="21">
        <v>2.4319320939491601E-2</v>
      </c>
      <c r="K50" s="36" t="s">
        <v>65</v>
      </c>
      <c r="L50" s="38" t="s">
        <v>29</v>
      </c>
      <c r="M50" s="36" t="s">
        <v>22</v>
      </c>
      <c r="N50" s="38" t="s">
        <v>29</v>
      </c>
      <c r="O50" s="38" t="s">
        <v>29</v>
      </c>
      <c r="P50" s="21">
        <v>9.8275164224436405E-3</v>
      </c>
      <c r="Q50" s="21">
        <v>1.6933786869010401E-2</v>
      </c>
      <c r="S50" s="36" t="s">
        <v>66</v>
      </c>
      <c r="T50" s="38" t="s">
        <v>29</v>
      </c>
      <c r="U50" s="36" t="s">
        <v>22</v>
      </c>
      <c r="V50" s="38" t="s">
        <v>29</v>
      </c>
      <c r="W50" s="38" t="s">
        <v>29</v>
      </c>
      <c r="X50" s="21">
        <v>9.3930737049317294E-3</v>
      </c>
      <c r="Y50" s="21">
        <v>1.42922531201403E-2</v>
      </c>
      <c r="AA50" s="36" t="s">
        <v>67</v>
      </c>
      <c r="AB50" s="38" t="s">
        <v>29</v>
      </c>
      <c r="AC50" s="36" t="s">
        <v>24</v>
      </c>
      <c r="AD50" s="38" t="s">
        <v>29</v>
      </c>
      <c r="AE50" s="38" t="s">
        <v>29</v>
      </c>
      <c r="AF50" s="21">
        <v>1.2708307183957599E-2</v>
      </c>
      <c r="AG50" s="21">
        <v>8.6279164881240596E-3</v>
      </c>
      <c r="AI50" s="36" t="s">
        <v>68</v>
      </c>
      <c r="AJ50" s="38" t="s">
        <v>29</v>
      </c>
      <c r="AK50" s="36" t="s">
        <v>24</v>
      </c>
      <c r="AL50" s="38" t="s">
        <v>29</v>
      </c>
      <c r="AM50" s="38" t="s">
        <v>29</v>
      </c>
      <c r="AN50" s="21">
        <v>1.24794931690849E-2</v>
      </c>
      <c r="AO50" s="21">
        <v>6.9948338324795903E-3</v>
      </c>
    </row>
    <row r="51" spans="1:116">
      <c r="A51" s="34">
        <v>44668</v>
      </c>
      <c r="B51" s="35" t="s">
        <v>53</v>
      </c>
      <c r="C51" s="36" t="s">
        <v>64</v>
      </c>
      <c r="D51" s="38" t="s">
        <v>29</v>
      </c>
      <c r="E51" s="36" t="s">
        <v>22</v>
      </c>
      <c r="F51" s="38" t="s">
        <v>29</v>
      </c>
      <c r="G51" s="38" t="s">
        <v>29</v>
      </c>
      <c r="H51" s="21">
        <v>4.7080843007581497E-3</v>
      </c>
      <c r="I51" s="21">
        <v>3.4256515207342603E-2</v>
      </c>
      <c r="K51" s="36" t="s">
        <v>65</v>
      </c>
      <c r="L51" s="38" t="s">
        <v>29</v>
      </c>
      <c r="M51" s="36" t="s">
        <v>22</v>
      </c>
      <c r="N51" s="38" t="s">
        <v>29</v>
      </c>
      <c r="O51" s="38" t="s">
        <v>29</v>
      </c>
      <c r="P51" s="21">
        <v>1.01172458650064E-2</v>
      </c>
      <c r="Q51" s="21">
        <v>2.8141072233894799E-2</v>
      </c>
      <c r="S51" s="36" t="s">
        <v>66</v>
      </c>
      <c r="T51" s="38" t="s">
        <v>29</v>
      </c>
      <c r="U51" s="36" t="s">
        <v>22</v>
      </c>
      <c r="V51" s="38" t="s">
        <v>29</v>
      </c>
      <c r="W51" s="38" t="s">
        <v>29</v>
      </c>
      <c r="X51" s="21">
        <v>9.9712230893326207E-3</v>
      </c>
      <c r="Y51" s="21">
        <v>3.1043073073344401E-2</v>
      </c>
      <c r="AA51" s="36" t="s">
        <v>67</v>
      </c>
      <c r="AB51" s="38" t="s">
        <v>29</v>
      </c>
      <c r="AC51" s="36" t="s">
        <v>24</v>
      </c>
      <c r="AD51" s="38" t="s">
        <v>29</v>
      </c>
      <c r="AE51" s="38" t="s">
        <v>29</v>
      </c>
      <c r="AF51" s="21">
        <v>1.2830769363738901E-2</v>
      </c>
      <c r="AG51" s="21">
        <v>1.6705912587308702E-2</v>
      </c>
      <c r="AI51" s="36" t="s">
        <v>68</v>
      </c>
      <c r="AJ51" s="38" t="s">
        <v>29</v>
      </c>
      <c r="AK51" s="36" t="s">
        <v>24</v>
      </c>
      <c r="AL51" s="38" t="s">
        <v>29</v>
      </c>
      <c r="AM51" s="38" t="s">
        <v>29</v>
      </c>
      <c r="AN51" s="21">
        <v>1.283107397878E-2</v>
      </c>
      <c r="AO51" s="21">
        <v>1.18122716924114E-2</v>
      </c>
    </row>
    <row r="52" spans="1:116">
      <c r="A52" s="34">
        <v>44668</v>
      </c>
      <c r="B52" s="35" t="s">
        <v>60</v>
      </c>
      <c r="C52" s="36" t="s">
        <v>64</v>
      </c>
      <c r="D52" s="38" t="s">
        <v>29</v>
      </c>
      <c r="E52" s="39" t="s">
        <v>22</v>
      </c>
      <c r="F52" s="38" t="s">
        <v>29</v>
      </c>
      <c r="G52" s="38" t="s">
        <v>29</v>
      </c>
      <c r="H52" s="21">
        <v>4.6149115454303703E-3</v>
      </c>
      <c r="I52" s="21">
        <v>2.3120972844505198E-2</v>
      </c>
      <c r="K52" s="36" t="s">
        <v>65</v>
      </c>
      <c r="L52" s="38" t="s">
        <v>29</v>
      </c>
      <c r="M52" s="36" t="s">
        <v>22</v>
      </c>
      <c r="N52" s="38" t="s">
        <v>29</v>
      </c>
      <c r="O52" s="38" t="s">
        <v>29</v>
      </c>
      <c r="P52" s="21">
        <v>1.02705894798899E-2</v>
      </c>
      <c r="Q52" s="21">
        <v>3.0451134601306901E-2</v>
      </c>
      <c r="S52" s="36" t="s">
        <v>66</v>
      </c>
      <c r="T52" s="38" t="s">
        <v>29</v>
      </c>
      <c r="U52" s="36" t="s">
        <v>22</v>
      </c>
      <c r="V52" s="38" t="s">
        <v>29</v>
      </c>
      <c r="W52" s="38" t="s">
        <v>29</v>
      </c>
      <c r="X52" s="21">
        <v>9.8022808940282907E-3</v>
      </c>
      <c r="Y52" s="21">
        <v>1.6760946482798599E-2</v>
      </c>
      <c r="AA52" s="36" t="s">
        <v>67</v>
      </c>
      <c r="AB52" s="38" t="s">
        <v>29</v>
      </c>
      <c r="AC52" s="36" t="s">
        <v>24</v>
      </c>
      <c r="AD52" s="38" t="s">
        <v>29</v>
      </c>
      <c r="AE52" s="38" t="s">
        <v>29</v>
      </c>
      <c r="AF52" s="21">
        <v>1.25757958676777E-2</v>
      </c>
      <c r="AG52" s="21">
        <v>1.3500552113041599E-2</v>
      </c>
      <c r="AI52" s="36" t="s">
        <v>68</v>
      </c>
      <c r="AJ52" s="38" t="s">
        <v>29</v>
      </c>
      <c r="AK52" s="36" t="s">
        <v>24</v>
      </c>
      <c r="AL52" s="38" t="s">
        <v>29</v>
      </c>
      <c r="AM52" s="38" t="s">
        <v>29</v>
      </c>
      <c r="AN52" s="21">
        <v>1.2804341077649301E-2</v>
      </c>
      <c r="AO52" s="21">
        <v>1.09201594033887E-2</v>
      </c>
    </row>
    <row r="53" spans="1:116">
      <c r="A53" s="34">
        <v>44668</v>
      </c>
      <c r="B53" s="35" t="s">
        <v>58</v>
      </c>
      <c r="C53" s="36" t="s">
        <v>64</v>
      </c>
      <c r="D53" s="38" t="s">
        <v>29</v>
      </c>
      <c r="E53" s="39" t="s">
        <v>22</v>
      </c>
      <c r="F53" s="38" t="s">
        <v>29</v>
      </c>
      <c r="G53" s="38" t="s">
        <v>29</v>
      </c>
      <c r="H53" s="21">
        <v>4.4999574206197003E-3</v>
      </c>
      <c r="I53" s="21">
        <v>3.4795423360931999E-2</v>
      </c>
      <c r="K53" s="36" t="s">
        <v>65</v>
      </c>
      <c r="L53" s="38" t="s">
        <v>29</v>
      </c>
      <c r="M53" s="36" t="s">
        <v>22</v>
      </c>
      <c r="N53" s="38" t="s">
        <v>29</v>
      </c>
      <c r="O53" s="38" t="s">
        <v>29</v>
      </c>
      <c r="P53" s="21">
        <v>1.0421436540862399E-2</v>
      </c>
      <c r="Q53" s="21">
        <v>2.1345731717622302E-2</v>
      </c>
      <c r="S53" s="36" t="s">
        <v>66</v>
      </c>
      <c r="T53" s="38" t="s">
        <v>29</v>
      </c>
      <c r="U53" s="36" t="s">
        <v>22</v>
      </c>
      <c r="V53" s="38" t="s">
        <v>29</v>
      </c>
      <c r="W53" s="38" t="s">
        <v>29</v>
      </c>
      <c r="X53" s="21">
        <v>1.00537716528063E-2</v>
      </c>
      <c r="Y53" s="21">
        <v>2.5525088608199398E-2</v>
      </c>
      <c r="AA53" s="36" t="s">
        <v>67</v>
      </c>
      <c r="AB53" s="38" t="s">
        <v>29</v>
      </c>
      <c r="AC53" s="36" t="s">
        <v>24</v>
      </c>
      <c r="AD53" s="38" t="s">
        <v>29</v>
      </c>
      <c r="AE53" s="38" t="s">
        <v>29</v>
      </c>
      <c r="AF53" s="21">
        <v>1.3194835398854301E-2</v>
      </c>
      <c r="AG53" s="21">
        <v>1.20246410954219E-2</v>
      </c>
      <c r="AI53" s="36" t="s">
        <v>68</v>
      </c>
      <c r="AJ53" s="38" t="s">
        <v>29</v>
      </c>
      <c r="AK53" s="36" t="s">
        <v>24</v>
      </c>
      <c r="AL53" s="38" t="s">
        <v>29</v>
      </c>
      <c r="AM53" s="38" t="s">
        <v>29</v>
      </c>
      <c r="AN53" s="21">
        <v>1.26638678958033E-2</v>
      </c>
      <c r="AO53" s="21">
        <v>7.49782020296344E-3</v>
      </c>
    </row>
    <row r="54" spans="1:116">
      <c r="A54" s="34">
        <v>44668</v>
      </c>
      <c r="B54" s="35" t="s">
        <v>55</v>
      </c>
      <c r="C54" s="36" t="s">
        <v>64</v>
      </c>
      <c r="D54" s="38" t="s">
        <v>29</v>
      </c>
      <c r="E54" s="39" t="s">
        <v>22</v>
      </c>
      <c r="F54" s="38" t="s">
        <v>29</v>
      </c>
      <c r="G54" s="38" t="s">
        <v>29</v>
      </c>
      <c r="H54" s="21">
        <v>4.5513456789515704E-3</v>
      </c>
      <c r="I54" s="21">
        <v>2.6898773378420299E-2</v>
      </c>
      <c r="K54" s="36" t="s">
        <v>65</v>
      </c>
      <c r="L54" s="38" t="s">
        <v>29</v>
      </c>
      <c r="M54" s="36" t="s">
        <v>22</v>
      </c>
      <c r="N54" s="38" t="s">
        <v>29</v>
      </c>
      <c r="O54" s="38" t="s">
        <v>29</v>
      </c>
      <c r="P54" s="21">
        <v>9.9017598821707006E-3</v>
      </c>
      <c r="Q54" s="21">
        <v>1.54399063933065E-2</v>
      </c>
      <c r="S54" s="36" t="s">
        <v>66</v>
      </c>
      <c r="T54" s="38" t="s">
        <v>29</v>
      </c>
      <c r="U54" s="36" t="s">
        <v>22</v>
      </c>
      <c r="V54" s="38" t="s">
        <v>29</v>
      </c>
      <c r="W54" s="38" t="s">
        <v>29</v>
      </c>
      <c r="X54" s="21">
        <v>9.5976040153251709E-3</v>
      </c>
      <c r="Y54" s="21">
        <v>1.27802226056362E-2</v>
      </c>
      <c r="AA54" s="36" t="s">
        <v>67</v>
      </c>
      <c r="AB54" s="38" t="s">
        <v>29</v>
      </c>
      <c r="AC54" s="36" t="s">
        <v>24</v>
      </c>
      <c r="AD54" s="38" t="s">
        <v>29</v>
      </c>
      <c r="AE54" s="38" t="s">
        <v>29</v>
      </c>
      <c r="AF54" s="21">
        <v>1.24915017674747E-2</v>
      </c>
      <c r="AG54" s="21">
        <v>7.8248956070779193E-3</v>
      </c>
      <c r="AI54" s="36" t="s">
        <v>68</v>
      </c>
      <c r="AJ54" s="38" t="s">
        <v>29</v>
      </c>
      <c r="AK54" s="36" t="s">
        <v>24</v>
      </c>
      <c r="AL54" s="38" t="s">
        <v>29</v>
      </c>
      <c r="AM54" s="38" t="s">
        <v>29</v>
      </c>
      <c r="AN54" s="21">
        <v>1.26979127489113E-2</v>
      </c>
      <c r="AO54" s="21">
        <v>7.3940773112464702E-3</v>
      </c>
    </row>
    <row r="55" spans="1:116">
      <c r="A55" s="34">
        <v>44668</v>
      </c>
      <c r="B55" s="35" t="s">
        <v>59</v>
      </c>
      <c r="C55" s="36" t="s">
        <v>64</v>
      </c>
      <c r="D55" s="38" t="s">
        <v>29</v>
      </c>
      <c r="E55" s="39" t="s">
        <v>22</v>
      </c>
      <c r="F55" s="38" t="s">
        <v>29</v>
      </c>
      <c r="G55" s="38" t="s">
        <v>29</v>
      </c>
      <c r="H55" s="21">
        <v>4.4646865447693397E-3</v>
      </c>
      <c r="I55" s="21">
        <v>3.3881766176946097E-2</v>
      </c>
      <c r="K55" s="36" t="s">
        <v>65</v>
      </c>
      <c r="L55" s="38" t="s">
        <v>29</v>
      </c>
      <c r="M55" s="36" t="s">
        <v>22</v>
      </c>
      <c r="N55" s="38" t="s">
        <v>29</v>
      </c>
      <c r="O55" s="38" t="s">
        <v>29</v>
      </c>
      <c r="P55" s="21">
        <v>9.9098716174336396E-3</v>
      </c>
      <c r="Q55" s="21">
        <v>1.9518619409206701E-2</v>
      </c>
      <c r="S55" s="36" t="s">
        <v>66</v>
      </c>
      <c r="T55" s="38" t="s">
        <v>29</v>
      </c>
      <c r="U55" s="36" t="s">
        <v>22</v>
      </c>
      <c r="V55" s="38" t="s">
        <v>29</v>
      </c>
      <c r="W55" s="38" t="s">
        <v>29</v>
      </c>
      <c r="X55" s="21">
        <v>1.04039409098439E-2</v>
      </c>
      <c r="Y55" s="21">
        <v>2.3177234269433199E-2</v>
      </c>
      <c r="AA55" s="36" t="s">
        <v>67</v>
      </c>
      <c r="AB55" s="38" t="s">
        <v>29</v>
      </c>
      <c r="AC55" s="36" t="s">
        <v>24</v>
      </c>
      <c r="AD55" s="38" t="s">
        <v>29</v>
      </c>
      <c r="AE55" s="38" t="s">
        <v>29</v>
      </c>
      <c r="AF55" s="21">
        <v>1.3142523789130301E-2</v>
      </c>
      <c r="AG55" s="21">
        <v>1.14366058662959E-2</v>
      </c>
      <c r="AI55" s="36" t="s">
        <v>68</v>
      </c>
      <c r="AJ55" s="38" t="s">
        <v>29</v>
      </c>
      <c r="AK55" s="36" t="s">
        <v>24</v>
      </c>
      <c r="AL55" s="38" t="s">
        <v>29</v>
      </c>
      <c r="AM55" s="38" t="s">
        <v>29</v>
      </c>
      <c r="AN55" s="21">
        <v>1.29739115903351E-2</v>
      </c>
      <c r="AO55" s="21">
        <v>1.0445223929491E-2</v>
      </c>
    </row>
    <row r="56" spans="1:116">
      <c r="A56" s="34">
        <v>44668</v>
      </c>
      <c r="B56" s="35" t="s">
        <v>61</v>
      </c>
      <c r="C56" s="36" t="s">
        <v>64</v>
      </c>
      <c r="D56" s="38" t="s">
        <v>29</v>
      </c>
      <c r="E56" s="39" t="s">
        <v>22</v>
      </c>
      <c r="F56" s="38" t="s">
        <v>29</v>
      </c>
      <c r="G56" s="38" t="s">
        <v>29</v>
      </c>
      <c r="H56" s="21">
        <v>4.5606614526448302E-3</v>
      </c>
      <c r="I56" s="21">
        <v>2.2727988868950201E-2</v>
      </c>
      <c r="K56" s="36" t="s">
        <v>65</v>
      </c>
      <c r="L56" s="38" t="s">
        <v>29</v>
      </c>
      <c r="M56" s="36" t="s">
        <v>22</v>
      </c>
      <c r="N56" s="38" t="s">
        <v>29</v>
      </c>
      <c r="O56" s="38" t="s">
        <v>29</v>
      </c>
      <c r="P56" s="21">
        <v>9.9098716174336396E-3</v>
      </c>
      <c r="Q56" s="21">
        <v>1.9518619409206701E-2</v>
      </c>
      <c r="S56" s="36" t="s">
        <v>66</v>
      </c>
      <c r="T56" s="38" t="s">
        <v>29</v>
      </c>
      <c r="U56" s="36" t="s">
        <v>22</v>
      </c>
      <c r="V56" s="38" t="s">
        <v>29</v>
      </c>
      <c r="W56" s="38" t="s">
        <v>29</v>
      </c>
      <c r="X56" s="21">
        <v>9.9637982210223405E-3</v>
      </c>
      <c r="Y56" s="21">
        <v>1.5051418162099499E-2</v>
      </c>
      <c r="AA56" s="36" t="s">
        <v>67</v>
      </c>
      <c r="AB56" s="38" t="s">
        <v>29</v>
      </c>
      <c r="AC56" s="36" t="s">
        <v>24</v>
      </c>
      <c r="AD56" s="38" t="s">
        <v>29</v>
      </c>
      <c r="AE56" s="38" t="s">
        <v>29</v>
      </c>
      <c r="AF56" s="21">
        <v>1.2792696557636899E-2</v>
      </c>
      <c r="AG56" s="21">
        <v>1.04529409363384E-2</v>
      </c>
      <c r="AI56" s="36" t="s">
        <v>68</v>
      </c>
      <c r="AJ56" s="38" t="s">
        <v>29</v>
      </c>
      <c r="AK56" s="36" t="s">
        <v>24</v>
      </c>
      <c r="AL56" s="38" t="s">
        <v>29</v>
      </c>
      <c r="AM56" s="38" t="s">
        <v>29</v>
      </c>
      <c r="AN56" s="21">
        <v>1.2758807504271301E-2</v>
      </c>
      <c r="AO56" s="21">
        <v>6.9608887738503598E-3</v>
      </c>
    </row>
    <row r="57" spans="1:116">
      <c r="A57" s="34">
        <v>44668</v>
      </c>
      <c r="B57" s="35" t="s">
        <v>56</v>
      </c>
      <c r="C57" s="36" t="s">
        <v>64</v>
      </c>
      <c r="D57" s="38" t="s">
        <v>29</v>
      </c>
      <c r="E57" s="39" t="s">
        <v>22</v>
      </c>
      <c r="F57" s="38" t="s">
        <v>29</v>
      </c>
      <c r="G57" s="38" t="s">
        <v>29</v>
      </c>
      <c r="H57" s="21">
        <v>4.3267972533551496E-3</v>
      </c>
      <c r="I57" s="21">
        <v>2.7685778509220299E-2</v>
      </c>
      <c r="K57" s="36" t="s">
        <v>65</v>
      </c>
      <c r="L57" s="38" t="s">
        <v>29</v>
      </c>
      <c r="M57" s="36" t="s">
        <v>22</v>
      </c>
      <c r="N57" s="38" t="s">
        <v>29</v>
      </c>
      <c r="O57" s="38" t="s">
        <v>29</v>
      </c>
      <c r="P57" s="21">
        <v>9.8425587131535999E-3</v>
      </c>
      <c r="Q57" s="21">
        <v>1.504513004255E-2</v>
      </c>
      <c r="S57" s="36" t="s">
        <v>66</v>
      </c>
      <c r="T57" s="38" t="s">
        <v>29</v>
      </c>
      <c r="U57" s="36" t="s">
        <v>22</v>
      </c>
      <c r="V57" s="38" t="s">
        <v>29</v>
      </c>
      <c r="W57" s="38" t="s">
        <v>29</v>
      </c>
      <c r="X57" s="21">
        <v>9.5699592132698005E-3</v>
      </c>
      <c r="Y57" s="21">
        <v>1.2692107943671699E-2</v>
      </c>
      <c r="AA57" s="36" t="s">
        <v>67</v>
      </c>
      <c r="AB57" s="38" t="s">
        <v>29</v>
      </c>
      <c r="AC57" s="36" t="s">
        <v>24</v>
      </c>
      <c r="AD57" s="38" t="s">
        <v>29</v>
      </c>
      <c r="AE57" s="38" t="s">
        <v>29</v>
      </c>
      <c r="AF57" s="21">
        <v>1.2679448417850099E-2</v>
      </c>
      <c r="AG57" s="21">
        <v>7.6149430542599003E-3</v>
      </c>
      <c r="AI57" s="36" t="s">
        <v>68</v>
      </c>
      <c r="AJ57" s="38" t="s">
        <v>29</v>
      </c>
      <c r="AK57" s="36" t="s">
        <v>24</v>
      </c>
      <c r="AL57" s="38" t="s">
        <v>29</v>
      </c>
      <c r="AM57" s="38" t="s">
        <v>29</v>
      </c>
      <c r="AN57" s="21">
        <v>1.24901233581949E-2</v>
      </c>
      <c r="AO57" s="21">
        <v>8.0995641747015207E-3</v>
      </c>
    </row>
    <row r="58" spans="1:116">
      <c r="A58" s="34">
        <v>44668</v>
      </c>
      <c r="B58" s="35" t="s">
        <v>52</v>
      </c>
      <c r="C58" s="36" t="s">
        <v>64</v>
      </c>
      <c r="D58" s="38" t="s">
        <v>29</v>
      </c>
      <c r="E58" s="39" t="s">
        <v>23</v>
      </c>
      <c r="F58" s="38" t="s">
        <v>29</v>
      </c>
      <c r="G58" s="38" t="s">
        <v>29</v>
      </c>
      <c r="H58" s="21">
        <v>4.8791787053928098E-3</v>
      </c>
      <c r="I58" s="21">
        <v>1.8346261265949199E-2</v>
      </c>
      <c r="K58" s="36" t="s">
        <v>65</v>
      </c>
      <c r="L58" s="38" t="s">
        <v>29</v>
      </c>
      <c r="M58" s="36" t="s">
        <v>22</v>
      </c>
      <c r="N58" s="38" t="s">
        <v>29</v>
      </c>
      <c r="O58" s="38" t="s">
        <v>29</v>
      </c>
      <c r="P58" s="21">
        <v>9.7261224414565191E-3</v>
      </c>
      <c r="Q58" s="21">
        <v>1.4229709441545E-2</v>
      </c>
      <c r="S58" s="36" t="s">
        <v>66</v>
      </c>
      <c r="T58" s="38" t="s">
        <v>29</v>
      </c>
      <c r="U58" s="36" t="s">
        <v>22</v>
      </c>
      <c r="V58" s="38" t="s">
        <v>29</v>
      </c>
      <c r="W58" s="38" t="s">
        <v>29</v>
      </c>
      <c r="X58" s="21">
        <v>9.9587205824323306E-3</v>
      </c>
      <c r="Y58" s="21">
        <v>1.24317174058653E-2</v>
      </c>
      <c r="AA58" s="36" t="s">
        <v>67</v>
      </c>
      <c r="AB58" s="38" t="s">
        <v>29</v>
      </c>
      <c r="AC58" s="36" t="s">
        <v>24</v>
      </c>
      <c r="AD58" s="38" t="s">
        <v>29</v>
      </c>
      <c r="AE58" s="38" t="s">
        <v>29</v>
      </c>
      <c r="AF58" s="21">
        <v>1.2567252858299899E-2</v>
      </c>
      <c r="AG58" s="21">
        <v>7.1702645813881997E-3</v>
      </c>
      <c r="AI58" s="36" t="s">
        <v>68</v>
      </c>
      <c r="AJ58" s="38" t="s">
        <v>29</v>
      </c>
      <c r="AK58" s="36" t="s">
        <v>24</v>
      </c>
      <c r="AL58" s="38" t="s">
        <v>29</v>
      </c>
      <c r="AM58" s="38" t="s">
        <v>29</v>
      </c>
      <c r="AN58" s="21">
        <v>1.2561634299360301E-2</v>
      </c>
      <c r="AO58" s="21">
        <v>6.7392388137362301E-3</v>
      </c>
    </row>
    <row r="61" spans="1:116" ht="29">
      <c r="A61" s="14" t="s">
        <v>69</v>
      </c>
      <c r="F61" s="50" t="s">
        <v>83</v>
      </c>
      <c r="N61" s="50" t="s">
        <v>83</v>
      </c>
      <c r="V61" s="50" t="s">
        <v>83</v>
      </c>
      <c r="AD61" s="50" t="s">
        <v>83</v>
      </c>
      <c r="AL61" s="50" t="s">
        <v>83</v>
      </c>
    </row>
    <row r="62" spans="1:116" s="54" customFormat="1">
      <c r="A62" s="59">
        <v>44669</v>
      </c>
      <c r="B62" s="40" t="s">
        <v>71</v>
      </c>
      <c r="C62" s="40" t="s">
        <v>81</v>
      </c>
      <c r="D62" s="46" t="s">
        <v>29</v>
      </c>
      <c r="E62" s="40" t="s">
        <v>80</v>
      </c>
      <c r="F62" s="49">
        <v>200000</v>
      </c>
      <c r="G62" s="41"/>
      <c r="H62" s="21">
        <v>4.5134165989448402E-2</v>
      </c>
      <c r="I62" s="21">
        <v>1.7252751342510499E-2</v>
      </c>
      <c r="J62" s="58"/>
      <c r="K62" s="54" t="s">
        <v>85</v>
      </c>
      <c r="L62" s="55" t="s">
        <v>29</v>
      </c>
      <c r="M62" s="54" t="s">
        <v>80</v>
      </c>
      <c r="N62" s="57">
        <v>51300</v>
      </c>
      <c r="O62" s="56"/>
      <c r="R62" s="58"/>
      <c r="T62" s="55" t="s">
        <v>29</v>
      </c>
      <c r="U62" s="54" t="s">
        <v>80</v>
      </c>
      <c r="V62" s="57">
        <v>40000</v>
      </c>
      <c r="W62" s="56"/>
      <c r="Z62" s="58"/>
      <c r="AA62" s="40" t="s">
        <v>90</v>
      </c>
      <c r="AB62" s="46" t="s">
        <v>29</v>
      </c>
      <c r="AC62" s="40" t="s">
        <v>80</v>
      </c>
      <c r="AD62" s="51">
        <v>76000</v>
      </c>
      <c r="AE62" s="41"/>
      <c r="AF62" s="21">
        <v>6.9716681193270402E-2</v>
      </c>
      <c r="AG62" s="21">
        <v>8.7640919045720092E-3</v>
      </c>
      <c r="AH62" s="58"/>
      <c r="AI62" s="40" t="s">
        <v>92</v>
      </c>
      <c r="AJ62" s="46" t="s">
        <v>29</v>
      </c>
      <c r="AK62" s="40" t="s">
        <v>80</v>
      </c>
      <c r="AL62" s="51">
        <v>300000</v>
      </c>
      <c r="AM62" s="41"/>
      <c r="AN62" s="21">
        <v>7.0000109342050601E-2</v>
      </c>
      <c r="AO62" s="21">
        <v>9.0645594038067292E-3</v>
      </c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B62" s="58"/>
      <c r="BC62" s="58"/>
      <c r="BD62" s="58"/>
      <c r="BE62" s="58"/>
      <c r="BF62" s="58"/>
      <c r="BG62" s="58"/>
      <c r="BH62" s="58"/>
      <c r="BI62" s="58"/>
      <c r="BJ62" s="58"/>
      <c r="BK62" s="58"/>
      <c r="BL62" s="58"/>
      <c r="BM62" s="58"/>
      <c r="BN62" s="58"/>
      <c r="BO62" s="58"/>
      <c r="BP62" s="58"/>
      <c r="BQ62" s="58"/>
      <c r="BR62" s="58"/>
      <c r="BS62" s="58"/>
      <c r="BT62" s="58"/>
      <c r="BU62" s="58"/>
      <c r="BV62" s="58"/>
      <c r="BW62" s="58"/>
      <c r="BX62" s="58"/>
      <c r="BY62" s="58"/>
      <c r="BZ62" s="58"/>
      <c r="CA62" s="58"/>
      <c r="CB62" s="58"/>
      <c r="CC62" s="58"/>
      <c r="CD62" s="58"/>
      <c r="CE62" s="58"/>
      <c r="CF62" s="58"/>
      <c r="CG62" s="58"/>
      <c r="CH62" s="58"/>
      <c r="CI62" s="58"/>
      <c r="CJ62" s="58"/>
      <c r="CK62" s="58"/>
      <c r="CL62" s="58"/>
      <c r="CM62" s="58"/>
      <c r="CN62" s="58"/>
      <c r="CO62" s="58"/>
      <c r="CP62" s="58"/>
      <c r="CQ62" s="58"/>
      <c r="CR62" s="58"/>
      <c r="CS62" s="58"/>
      <c r="CT62" s="58"/>
      <c r="CU62" s="58"/>
      <c r="CV62" s="58"/>
      <c r="CW62" s="58"/>
      <c r="CX62" s="58"/>
      <c r="CY62" s="58"/>
      <c r="CZ62" s="58"/>
      <c r="DA62" s="58"/>
      <c r="DB62" s="58"/>
      <c r="DC62" s="58"/>
      <c r="DD62" s="58"/>
      <c r="DE62" s="58"/>
      <c r="DF62" s="58"/>
      <c r="DG62" s="58"/>
      <c r="DH62" s="58"/>
      <c r="DI62" s="58"/>
      <c r="DJ62" s="58"/>
      <c r="DK62" s="58"/>
      <c r="DL62" s="58"/>
    </row>
    <row r="63" spans="1:116" s="54" customFormat="1">
      <c r="A63" s="59">
        <v>44669</v>
      </c>
      <c r="B63" s="40" t="s">
        <v>72</v>
      </c>
      <c r="C63" s="40" t="s">
        <v>81</v>
      </c>
      <c r="D63" s="46" t="s">
        <v>29</v>
      </c>
      <c r="E63" s="40" t="s">
        <v>80</v>
      </c>
      <c r="F63" s="49">
        <v>16000</v>
      </c>
      <c r="G63" s="41"/>
      <c r="H63" s="21">
        <v>4.7065492421371903E-2</v>
      </c>
      <c r="I63" s="21">
        <v>4.7971324361575703E-2</v>
      </c>
      <c r="J63" s="58"/>
      <c r="K63" s="54" t="s">
        <v>84</v>
      </c>
      <c r="L63" s="55" t="s">
        <v>29</v>
      </c>
      <c r="M63" s="54" t="s">
        <v>80</v>
      </c>
      <c r="N63" s="57">
        <v>6000</v>
      </c>
      <c r="O63" s="56"/>
      <c r="R63" s="58"/>
      <c r="T63" s="55" t="s">
        <v>29</v>
      </c>
      <c r="U63" s="54" t="s">
        <v>80</v>
      </c>
      <c r="V63" s="57">
        <v>3000</v>
      </c>
      <c r="W63" s="56"/>
      <c r="Z63" s="58"/>
      <c r="AA63" s="40" t="s">
        <v>90</v>
      </c>
      <c r="AB63" s="46" t="s">
        <v>29</v>
      </c>
      <c r="AC63" s="40" t="s">
        <v>80</v>
      </c>
      <c r="AD63" s="51">
        <v>40000</v>
      </c>
      <c r="AE63" s="41"/>
      <c r="AF63" s="21">
        <v>7.2111147437749504E-2</v>
      </c>
      <c r="AG63" s="21">
        <v>1.5240157768632899E-2</v>
      </c>
      <c r="AH63" s="58"/>
      <c r="AI63" s="40" t="s">
        <v>92</v>
      </c>
      <c r="AJ63" s="46" t="s">
        <v>29</v>
      </c>
      <c r="AK63" s="40" t="s">
        <v>80</v>
      </c>
      <c r="AL63" s="51">
        <v>128000</v>
      </c>
      <c r="AM63" s="41"/>
      <c r="AN63" s="21">
        <v>7.2327423275112004E-2</v>
      </c>
      <c r="AO63" s="21">
        <v>1.1294823287354001E-2</v>
      </c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8"/>
      <c r="BA63" s="58"/>
      <c r="BB63" s="58"/>
      <c r="BC63" s="58"/>
      <c r="BD63" s="58"/>
      <c r="BE63" s="58"/>
      <c r="BF63" s="58"/>
      <c r="BG63" s="58"/>
      <c r="BH63" s="58"/>
      <c r="BI63" s="58"/>
      <c r="BJ63" s="58"/>
      <c r="BK63" s="58"/>
      <c r="BL63" s="58"/>
      <c r="BM63" s="58"/>
      <c r="BN63" s="58"/>
      <c r="BO63" s="58"/>
      <c r="BP63" s="58"/>
      <c r="BQ63" s="58"/>
      <c r="BR63" s="58"/>
      <c r="BS63" s="58"/>
      <c r="BT63" s="58"/>
      <c r="BU63" s="58"/>
      <c r="BV63" s="58"/>
      <c r="BW63" s="58"/>
      <c r="BX63" s="58"/>
      <c r="BY63" s="58"/>
      <c r="BZ63" s="58"/>
      <c r="CA63" s="58"/>
      <c r="CB63" s="58"/>
      <c r="CC63" s="58"/>
      <c r="CD63" s="58"/>
      <c r="CE63" s="58"/>
      <c r="CF63" s="58"/>
      <c r="CG63" s="58"/>
      <c r="CH63" s="58"/>
      <c r="CI63" s="58"/>
      <c r="CJ63" s="58"/>
      <c r="CK63" s="58"/>
      <c r="CL63" s="58"/>
      <c r="CM63" s="58"/>
      <c r="CN63" s="58"/>
      <c r="CO63" s="58"/>
      <c r="CP63" s="58"/>
      <c r="CQ63" s="58"/>
      <c r="CR63" s="58"/>
      <c r="CS63" s="58"/>
      <c r="CT63" s="58"/>
      <c r="CU63" s="58"/>
      <c r="CV63" s="58"/>
      <c r="CW63" s="58"/>
      <c r="CX63" s="58"/>
      <c r="CY63" s="58"/>
      <c r="CZ63" s="58"/>
      <c r="DA63" s="58"/>
      <c r="DB63" s="58"/>
      <c r="DC63" s="58"/>
      <c r="DD63" s="58"/>
      <c r="DE63" s="58"/>
      <c r="DF63" s="58"/>
      <c r="DG63" s="58"/>
      <c r="DH63" s="58"/>
      <c r="DI63" s="58"/>
      <c r="DJ63" s="58"/>
      <c r="DK63" s="58"/>
      <c r="DL63" s="58"/>
    </row>
    <row r="64" spans="1:116" s="54" customFormat="1">
      <c r="A64" s="59">
        <v>44669</v>
      </c>
      <c r="B64" s="40" t="s">
        <v>73</v>
      </c>
      <c r="C64" s="40" t="s">
        <v>81</v>
      </c>
      <c r="D64" s="46" t="s">
        <v>29</v>
      </c>
      <c r="E64" s="40" t="s">
        <v>80</v>
      </c>
      <c r="F64" s="49">
        <v>52000</v>
      </c>
      <c r="G64" s="41"/>
      <c r="H64" s="21">
        <v>4.5646350377091E-2</v>
      </c>
      <c r="I64" s="21">
        <v>2.0523763310863301E-2</v>
      </c>
      <c r="J64" s="58"/>
      <c r="K64" s="54" t="s">
        <v>84</v>
      </c>
      <c r="L64" s="55" t="s">
        <v>29</v>
      </c>
      <c r="M64" s="54" t="s">
        <v>80</v>
      </c>
      <c r="N64" s="57">
        <v>9000</v>
      </c>
      <c r="O64" s="56"/>
      <c r="R64" s="58"/>
      <c r="T64" s="55" t="s">
        <v>29</v>
      </c>
      <c r="U64" s="54" t="s">
        <v>80</v>
      </c>
      <c r="V64" s="57">
        <v>4000</v>
      </c>
      <c r="W64" s="56"/>
      <c r="Z64" s="58"/>
      <c r="AA64" s="40" t="s">
        <v>90</v>
      </c>
      <c r="AB64" s="46" t="s">
        <v>29</v>
      </c>
      <c r="AC64" s="40" t="s">
        <v>80</v>
      </c>
      <c r="AD64" s="51">
        <v>28600</v>
      </c>
      <c r="AE64" s="41"/>
      <c r="AF64" s="21">
        <v>7.0268663396156797E-2</v>
      </c>
      <c r="AG64" s="21">
        <v>1.3723586496509101E-2</v>
      </c>
      <c r="AH64" s="58"/>
      <c r="AI64" s="40" t="s">
        <v>92</v>
      </c>
      <c r="AJ64" s="46" t="s">
        <v>29</v>
      </c>
      <c r="AK64" s="40" t="s">
        <v>80</v>
      </c>
      <c r="AL64" s="51">
        <v>140000</v>
      </c>
      <c r="AM64" s="41"/>
      <c r="AN64" s="21">
        <v>6.9853824473638498E-2</v>
      </c>
      <c r="AO64" s="21">
        <v>8.4377607783140806E-3</v>
      </c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8"/>
      <c r="BA64" s="58"/>
      <c r="BB64" s="58"/>
      <c r="BC64" s="58"/>
      <c r="BD64" s="58"/>
      <c r="BE64" s="58"/>
      <c r="BF64" s="58"/>
      <c r="BG64" s="58"/>
      <c r="BH64" s="58"/>
      <c r="BI64" s="58"/>
      <c r="BJ64" s="58"/>
      <c r="BK64" s="58"/>
      <c r="BL64" s="58"/>
      <c r="BM64" s="58"/>
      <c r="BN64" s="58"/>
      <c r="BO64" s="58"/>
      <c r="BP64" s="58"/>
      <c r="BQ64" s="58"/>
      <c r="BR64" s="58"/>
      <c r="BS64" s="58"/>
      <c r="BT64" s="58"/>
      <c r="BU64" s="58"/>
      <c r="BV64" s="58"/>
      <c r="BW64" s="58"/>
      <c r="BX64" s="58"/>
      <c r="BY64" s="58"/>
      <c r="BZ64" s="58"/>
      <c r="CA64" s="58"/>
      <c r="CB64" s="58"/>
      <c r="CC64" s="58"/>
      <c r="CD64" s="58"/>
      <c r="CE64" s="58"/>
      <c r="CF64" s="58"/>
      <c r="CG64" s="58"/>
      <c r="CH64" s="58"/>
      <c r="CI64" s="58"/>
      <c r="CJ64" s="58"/>
      <c r="CK64" s="58"/>
      <c r="CL64" s="58"/>
      <c r="CM64" s="58"/>
      <c r="CN64" s="58"/>
      <c r="CO64" s="58"/>
      <c r="CP64" s="58"/>
      <c r="CQ64" s="58"/>
      <c r="CR64" s="58"/>
      <c r="CS64" s="58"/>
      <c r="CT64" s="58"/>
      <c r="CU64" s="58"/>
      <c r="CV64" s="58"/>
      <c r="CW64" s="58"/>
      <c r="CX64" s="58"/>
      <c r="CY64" s="58"/>
      <c r="CZ64" s="58"/>
      <c r="DA64" s="58"/>
      <c r="DB64" s="58"/>
      <c r="DC64" s="58"/>
      <c r="DD64" s="58"/>
      <c r="DE64" s="58"/>
      <c r="DF64" s="58"/>
      <c r="DG64" s="58"/>
      <c r="DH64" s="58"/>
      <c r="DI64" s="58"/>
      <c r="DJ64" s="58"/>
      <c r="DK64" s="58"/>
      <c r="DL64" s="58"/>
    </row>
    <row r="65" spans="1:116">
      <c r="A65" s="59">
        <v>44669</v>
      </c>
      <c r="B65" s="40" t="s">
        <v>74</v>
      </c>
      <c r="C65" s="40" t="s">
        <v>81</v>
      </c>
      <c r="D65" s="46" t="s">
        <v>29</v>
      </c>
      <c r="E65" s="40" t="s">
        <v>80</v>
      </c>
      <c r="F65" s="49">
        <v>75100</v>
      </c>
      <c r="G65" s="41"/>
      <c r="H65" s="21">
        <v>4.8945133358949497E-2</v>
      </c>
      <c r="I65" s="21">
        <v>2.0574336742413001E-2</v>
      </c>
      <c r="K65" s="40" t="s">
        <v>86</v>
      </c>
      <c r="L65" s="46" t="s">
        <v>29</v>
      </c>
      <c r="M65" s="40" t="s">
        <v>80</v>
      </c>
      <c r="N65" s="51">
        <v>50000</v>
      </c>
      <c r="O65" s="41"/>
      <c r="P65" s="21">
        <v>6.4856318939465696E-2</v>
      </c>
      <c r="Q65" s="21">
        <v>1.30245163960714E-2</v>
      </c>
      <c r="S65" s="40" t="s">
        <v>87</v>
      </c>
      <c r="T65" s="46" t="s">
        <v>29</v>
      </c>
      <c r="U65" s="40" t="s">
        <v>80</v>
      </c>
      <c r="V65" s="51">
        <v>10000</v>
      </c>
      <c r="W65" s="41"/>
      <c r="X65" s="21">
        <v>6.6283026533891301E-2</v>
      </c>
      <c r="Y65" s="21">
        <v>2.0517583937871502E-2</v>
      </c>
      <c r="AA65" s="40" t="s">
        <v>90</v>
      </c>
      <c r="AB65" s="46" t="s">
        <v>29</v>
      </c>
      <c r="AC65" s="40" t="s">
        <v>80</v>
      </c>
      <c r="AD65" s="51">
        <v>270000</v>
      </c>
      <c r="AE65" s="41"/>
      <c r="AF65" s="21">
        <v>7.1720552909892599E-2</v>
      </c>
      <c r="AG65" s="21">
        <v>1.1694747363948901E-2</v>
      </c>
      <c r="AI65" s="40" t="s">
        <v>92</v>
      </c>
      <c r="AJ65" s="46" t="s">
        <v>29</v>
      </c>
      <c r="AK65" s="40" t="s">
        <v>80</v>
      </c>
      <c r="AL65" s="51">
        <v>750000</v>
      </c>
      <c r="AM65" s="41"/>
      <c r="AN65" s="21">
        <v>7.28156663433292E-2</v>
      </c>
      <c r="AO65" s="21">
        <v>1.02896217024272E-2</v>
      </c>
    </row>
    <row r="66" spans="1:116">
      <c r="A66" s="59">
        <v>44669</v>
      </c>
      <c r="B66" s="40" t="s">
        <v>75</v>
      </c>
      <c r="C66" s="40" t="s">
        <v>81</v>
      </c>
      <c r="D66" s="46" t="s">
        <v>29</v>
      </c>
      <c r="E66" s="40" t="s">
        <v>80</v>
      </c>
      <c r="F66" s="49">
        <v>134000</v>
      </c>
      <c r="G66" s="41"/>
      <c r="H66" s="21">
        <v>4.5626515124482597E-2</v>
      </c>
      <c r="I66" s="21">
        <v>1.8094972830457402E-2</v>
      </c>
      <c r="K66" s="40" t="s">
        <v>86</v>
      </c>
      <c r="L66" s="46" t="s">
        <v>29</v>
      </c>
      <c r="M66" s="40" t="s">
        <v>80</v>
      </c>
      <c r="N66" s="51">
        <v>20000</v>
      </c>
      <c r="O66" s="41"/>
      <c r="P66" s="21">
        <v>6.2626611001971394E-2</v>
      </c>
      <c r="Q66" s="21">
        <v>1.9994855133842599E-2</v>
      </c>
      <c r="S66" s="40" t="s">
        <v>87</v>
      </c>
      <c r="T66" s="46" t="s">
        <v>29</v>
      </c>
      <c r="U66" s="40" t="s">
        <v>80</v>
      </c>
      <c r="V66" s="51">
        <v>10000</v>
      </c>
      <c r="W66" s="41"/>
      <c r="X66" s="21">
        <v>6.18355031935501E-2</v>
      </c>
      <c r="Y66" s="21">
        <v>1.8049456236818001E-2</v>
      </c>
      <c r="AA66" s="40" t="s">
        <v>90</v>
      </c>
      <c r="AB66" s="46" t="s">
        <v>29</v>
      </c>
      <c r="AC66" s="40" t="s">
        <v>80</v>
      </c>
      <c r="AD66" s="51">
        <v>57000</v>
      </c>
      <c r="AE66" s="41"/>
      <c r="AF66" s="21">
        <v>6.85351418690089E-2</v>
      </c>
      <c r="AG66" s="21">
        <v>9.5181347902789492E-3</v>
      </c>
      <c r="AI66" s="40" t="s">
        <v>92</v>
      </c>
      <c r="AJ66" s="46" t="s">
        <v>29</v>
      </c>
      <c r="AK66" s="40" t="s">
        <v>80</v>
      </c>
      <c r="AL66" s="51">
        <v>250000</v>
      </c>
      <c r="AM66" s="41"/>
      <c r="AN66" s="21">
        <v>6.8164301964457497E-2</v>
      </c>
      <c r="AO66" s="21">
        <v>7.2492621494001904E-3</v>
      </c>
    </row>
    <row r="68" spans="1:116">
      <c r="A68" s="42">
        <v>44670</v>
      </c>
      <c r="B68" s="43" t="s">
        <v>76</v>
      </c>
      <c r="C68" s="43" t="s">
        <v>81</v>
      </c>
      <c r="D68" s="47" t="s">
        <v>29</v>
      </c>
      <c r="E68" s="43" t="s">
        <v>80</v>
      </c>
      <c r="F68" s="48">
        <v>211000</v>
      </c>
      <c r="G68" s="44"/>
      <c r="H68" s="21">
        <v>4.6725399333558702E-2</v>
      </c>
      <c r="I68" s="21">
        <v>1.7339346100472199E-2</v>
      </c>
      <c r="K68" s="43" t="s">
        <v>88</v>
      </c>
      <c r="L68" s="47" t="s">
        <v>29</v>
      </c>
      <c r="M68" s="43" t="s">
        <v>80</v>
      </c>
      <c r="N68" s="52">
        <v>30000</v>
      </c>
      <c r="O68" s="44"/>
      <c r="P68" s="21">
        <v>6.4234341105536996E-2</v>
      </c>
      <c r="Q68" s="21">
        <v>1.2405200261680601E-2</v>
      </c>
      <c r="S68" s="43" t="s">
        <v>89</v>
      </c>
      <c r="T68" s="47" t="s">
        <v>29</v>
      </c>
      <c r="U68" s="43" t="s">
        <v>80</v>
      </c>
      <c r="V68" s="52">
        <v>15000</v>
      </c>
      <c r="W68" s="44"/>
      <c r="X68" s="21">
        <v>6.3557723648269102E-2</v>
      </c>
      <c r="Y68" s="21">
        <v>1.62532036183036E-2</v>
      </c>
      <c r="AA68" s="43" t="s">
        <v>91</v>
      </c>
      <c r="AB68" s="47" t="s">
        <v>29</v>
      </c>
      <c r="AC68" s="43" t="s">
        <v>80</v>
      </c>
      <c r="AD68" s="52">
        <v>140000</v>
      </c>
      <c r="AE68" s="44"/>
      <c r="AF68" s="21">
        <v>6.8925430830803602E-2</v>
      </c>
      <c r="AG68" s="21">
        <v>8.6791717006153204E-3</v>
      </c>
      <c r="AI68" s="43" t="s">
        <v>92</v>
      </c>
      <c r="AJ68" s="47" t="s">
        <v>29</v>
      </c>
      <c r="AK68" s="43" t="s">
        <v>80</v>
      </c>
      <c r="AL68" s="52">
        <v>569000</v>
      </c>
      <c r="AM68" s="44"/>
      <c r="AN68" s="21">
        <v>7.0106834923424496E-2</v>
      </c>
      <c r="AO68" s="21">
        <v>8.47899950427701E-3</v>
      </c>
    </row>
    <row r="69" spans="1:116">
      <c r="A69" s="42">
        <v>44670</v>
      </c>
      <c r="B69" s="43" t="s">
        <v>77</v>
      </c>
      <c r="C69" s="43" t="s">
        <v>81</v>
      </c>
      <c r="D69" s="47" t="s">
        <v>29</v>
      </c>
      <c r="E69" s="43" t="s">
        <v>80</v>
      </c>
      <c r="F69" s="48">
        <v>150000</v>
      </c>
      <c r="G69" s="44"/>
      <c r="H69" s="61">
        <v>4.5140377501159797E-2</v>
      </c>
      <c r="I69" s="21">
        <v>3.1757118409314201E-2</v>
      </c>
      <c r="K69" s="43" t="s">
        <v>88</v>
      </c>
      <c r="L69" s="47" t="s">
        <v>29</v>
      </c>
      <c r="M69" s="43" t="s">
        <v>80</v>
      </c>
      <c r="N69" s="52">
        <v>30000</v>
      </c>
      <c r="O69" s="44"/>
      <c r="P69" s="21">
        <v>6.3229824767220499E-2</v>
      </c>
      <c r="Q69" s="21">
        <v>1.51327228178024E-2</v>
      </c>
      <c r="S69" s="43" t="s">
        <v>89</v>
      </c>
      <c r="T69" s="47" t="s">
        <v>29</v>
      </c>
      <c r="U69" s="43" t="s">
        <v>80</v>
      </c>
      <c r="V69" s="52">
        <v>9000</v>
      </c>
      <c r="W69" s="44"/>
      <c r="X69" s="21">
        <v>6.4039791776516197E-2</v>
      </c>
      <c r="Y69" s="21">
        <v>2.4690570897819699E-2</v>
      </c>
      <c r="AA69" s="43" t="s">
        <v>91</v>
      </c>
      <c r="AB69" s="47" t="s">
        <v>29</v>
      </c>
      <c r="AC69" s="43" t="s">
        <v>80</v>
      </c>
      <c r="AD69" s="52">
        <v>210000</v>
      </c>
      <c r="AE69" s="44"/>
      <c r="AF69" s="21">
        <v>7.2111147437749504E-2</v>
      </c>
      <c r="AG69" s="21">
        <v>1.5240157768632899E-2</v>
      </c>
      <c r="AI69" s="43" t="s">
        <v>92</v>
      </c>
      <c r="AJ69" s="47" t="s">
        <v>29</v>
      </c>
      <c r="AK69" s="43" t="s">
        <v>80</v>
      </c>
      <c r="AL69" s="52">
        <v>500000</v>
      </c>
      <c r="AM69" s="44"/>
      <c r="AN69" s="21">
        <v>7.1101498262982399E-2</v>
      </c>
      <c r="AO69" s="21">
        <v>1.01240351284363E-2</v>
      </c>
    </row>
    <row r="70" spans="1:116">
      <c r="A70" s="42">
        <v>44670</v>
      </c>
      <c r="B70" s="43" t="s">
        <v>78</v>
      </c>
      <c r="C70" s="43" t="s">
        <v>81</v>
      </c>
      <c r="D70" s="47" t="s">
        <v>29</v>
      </c>
      <c r="E70" s="43" t="s">
        <v>80</v>
      </c>
      <c r="F70" s="48">
        <v>283000</v>
      </c>
      <c r="G70" s="44"/>
      <c r="H70" s="21">
        <v>4.4216566022317598E-2</v>
      </c>
      <c r="I70" s="21">
        <v>1.6574153914710701E-2</v>
      </c>
      <c r="K70" s="43" t="s">
        <v>88</v>
      </c>
      <c r="L70" s="47" t="s">
        <v>29</v>
      </c>
      <c r="M70" s="43" t="s">
        <v>80</v>
      </c>
      <c r="N70" s="52">
        <v>88000</v>
      </c>
      <c r="O70" s="44"/>
      <c r="P70" s="21">
        <v>6.2564443357686406E-2</v>
      </c>
      <c r="Q70" s="21">
        <v>1.01015111135684E-2</v>
      </c>
      <c r="S70" s="43" t="s">
        <v>89</v>
      </c>
      <c r="T70" s="47" t="s">
        <v>29</v>
      </c>
      <c r="U70" s="43" t="s">
        <v>80</v>
      </c>
      <c r="V70" s="52">
        <v>27000</v>
      </c>
      <c r="W70" s="44"/>
      <c r="X70" s="21">
        <v>6.2870409339797095E-2</v>
      </c>
      <c r="Y70" s="21">
        <v>1.23255062556888E-2</v>
      </c>
      <c r="AA70" s="43" t="s">
        <v>91</v>
      </c>
      <c r="AB70" s="47" t="s">
        <v>29</v>
      </c>
      <c r="AC70" s="43" t="s">
        <v>80</v>
      </c>
      <c r="AD70" s="52">
        <v>270000</v>
      </c>
      <c r="AE70" s="44"/>
      <c r="AF70" s="21">
        <v>6.9325994514641803E-2</v>
      </c>
      <c r="AG70" s="21">
        <v>8.5976372282438492E-3</v>
      </c>
      <c r="AI70" s="43" t="s">
        <v>92</v>
      </c>
      <c r="AJ70" s="47" t="s">
        <v>29</v>
      </c>
      <c r="AK70" s="43" t="s">
        <v>80</v>
      </c>
      <c r="AL70" s="52">
        <v>1000000</v>
      </c>
      <c r="AM70" s="44"/>
      <c r="AN70" s="21">
        <v>6.9465519241169699E-2</v>
      </c>
      <c r="AO70" s="21">
        <v>8.9148895758855602E-3</v>
      </c>
    </row>
    <row r="71" spans="1:116">
      <c r="A71" s="42">
        <v>44670</v>
      </c>
      <c r="B71" s="43" t="s">
        <v>79</v>
      </c>
      <c r="C71" s="43" t="s">
        <v>81</v>
      </c>
      <c r="D71" s="47" t="s">
        <v>29</v>
      </c>
      <c r="E71" s="43" t="s">
        <v>80</v>
      </c>
      <c r="F71" s="48">
        <v>150000</v>
      </c>
      <c r="G71" s="44"/>
      <c r="H71" s="21">
        <v>4.7018458380369901E-2</v>
      </c>
      <c r="I71" s="21">
        <v>1.9529903240291999E-2</v>
      </c>
      <c r="K71" s="43" t="s">
        <v>88</v>
      </c>
      <c r="L71" s="47" t="s">
        <v>29</v>
      </c>
      <c r="M71" s="43" t="s">
        <v>80</v>
      </c>
      <c r="N71" s="52">
        <v>200000</v>
      </c>
      <c r="O71" s="44"/>
      <c r="P71" s="21">
        <v>6.0219485479135297E-2</v>
      </c>
      <c r="Q71" s="21">
        <v>1.2152570154357599E-2</v>
      </c>
      <c r="S71" s="43" t="s">
        <v>89</v>
      </c>
      <c r="T71" s="47" t="s">
        <v>29</v>
      </c>
      <c r="U71" s="43" t="s">
        <v>80</v>
      </c>
      <c r="V71" s="52">
        <v>60000</v>
      </c>
      <c r="W71" s="44"/>
      <c r="X71" s="21">
        <v>5.9440878135275599E-2</v>
      </c>
      <c r="Y71" s="21">
        <v>1.39282391203199E-2</v>
      </c>
      <c r="AA71" s="43" t="s">
        <v>91</v>
      </c>
      <c r="AB71" s="47" t="s">
        <v>29</v>
      </c>
      <c r="AC71" s="43" t="s">
        <v>80</v>
      </c>
      <c r="AD71" s="52">
        <v>824000</v>
      </c>
      <c r="AE71" s="44"/>
      <c r="AF71" s="21">
        <v>6.68901094184184E-2</v>
      </c>
      <c r="AG71" s="21">
        <v>1.28814822398248E-2</v>
      </c>
      <c r="AI71" s="43" t="s">
        <v>92</v>
      </c>
      <c r="AJ71" s="47" t="s">
        <v>29</v>
      </c>
      <c r="AK71" s="43" t="s">
        <v>80</v>
      </c>
      <c r="AL71" s="52">
        <v>2700000</v>
      </c>
      <c r="AM71" s="44"/>
      <c r="AN71" s="21">
        <v>6.66200390516892E-2</v>
      </c>
      <c r="AO71" s="21">
        <v>1.20141250268172E-2</v>
      </c>
    </row>
    <row r="72" spans="1:116">
      <c r="A72" s="42">
        <v>44670</v>
      </c>
      <c r="B72" s="43" t="s">
        <v>82</v>
      </c>
      <c r="C72" s="43" t="s">
        <v>81</v>
      </c>
      <c r="D72" s="47" t="s">
        <v>29</v>
      </c>
      <c r="E72" s="43" t="s">
        <v>80</v>
      </c>
      <c r="F72" s="48">
        <v>542000</v>
      </c>
      <c r="G72" s="44"/>
      <c r="H72" s="21">
        <v>4.2783693342432497E-2</v>
      </c>
      <c r="I72" s="21">
        <v>1.6679102642111001E-2</v>
      </c>
      <c r="K72" s="43" t="s">
        <v>88</v>
      </c>
      <c r="L72" s="47" t="s">
        <v>29</v>
      </c>
      <c r="M72" s="43" t="s">
        <v>80</v>
      </c>
      <c r="N72" s="52">
        <v>200000</v>
      </c>
      <c r="O72" s="44"/>
      <c r="P72" s="21">
        <v>5.9382330856842698E-2</v>
      </c>
      <c r="Q72" s="21">
        <v>9.2624485979917407E-3</v>
      </c>
      <c r="S72" s="43" t="s">
        <v>89</v>
      </c>
      <c r="T72" s="47" t="s">
        <v>29</v>
      </c>
      <c r="U72" s="43" t="s">
        <v>80</v>
      </c>
      <c r="V72" s="52">
        <v>70000</v>
      </c>
      <c r="W72" s="44"/>
      <c r="X72" s="21">
        <v>6.0701677591695299E-2</v>
      </c>
      <c r="Y72" s="21">
        <v>9.1256472781225204E-3</v>
      </c>
      <c r="AA72" s="43" t="s">
        <v>91</v>
      </c>
      <c r="AB72" s="47" t="s">
        <v>29</v>
      </c>
      <c r="AC72" s="43" t="s">
        <v>80</v>
      </c>
      <c r="AD72" s="52">
        <v>714000</v>
      </c>
      <c r="AE72" s="44"/>
      <c r="AF72" s="21">
        <v>6.7247000600252502E-2</v>
      </c>
      <c r="AG72" s="21">
        <v>9.0668419293206803E-3</v>
      </c>
      <c r="AI72" s="43" t="s">
        <v>92</v>
      </c>
      <c r="AJ72" s="47" t="s">
        <v>29</v>
      </c>
      <c r="AK72" s="43" t="s">
        <v>80</v>
      </c>
      <c r="AL72" s="52">
        <v>2460000</v>
      </c>
      <c r="AM72" s="44"/>
      <c r="AN72" s="21">
        <v>6.8394164407253696E-2</v>
      </c>
      <c r="AO72" s="21">
        <v>1.0022438401842E-2</v>
      </c>
    </row>
    <row r="75" spans="1:116" ht="29">
      <c r="A75" s="14" t="s">
        <v>70</v>
      </c>
    </row>
    <row r="76" spans="1:116" s="54" customFormat="1">
      <c r="A76" s="59">
        <v>44669</v>
      </c>
      <c r="B76" s="40" t="s">
        <v>71</v>
      </c>
      <c r="C76" s="40" t="s">
        <v>81</v>
      </c>
      <c r="D76" s="46" t="s">
        <v>29</v>
      </c>
      <c r="E76" s="40" t="s">
        <v>80</v>
      </c>
      <c r="F76" s="46" t="s">
        <v>29</v>
      </c>
      <c r="G76" s="41"/>
      <c r="H76" s="21">
        <v>7.2521027941231204E-3</v>
      </c>
      <c r="I76" s="21">
        <v>4.22534492252888E-2</v>
      </c>
      <c r="J76" s="58"/>
      <c r="L76" s="55" t="s">
        <v>29</v>
      </c>
      <c r="M76" s="54" t="s">
        <v>80</v>
      </c>
      <c r="N76" s="55" t="s">
        <v>29</v>
      </c>
      <c r="O76" s="56"/>
      <c r="R76" s="58"/>
      <c r="T76" s="55" t="s">
        <v>29</v>
      </c>
      <c r="U76" s="54" t="s">
        <v>80</v>
      </c>
      <c r="V76" s="55" t="s">
        <v>29</v>
      </c>
      <c r="W76" s="56"/>
      <c r="Z76" s="58"/>
      <c r="AA76" s="40" t="s">
        <v>90</v>
      </c>
      <c r="AB76" s="46" t="s">
        <v>29</v>
      </c>
      <c r="AC76" s="40" t="s">
        <v>80</v>
      </c>
      <c r="AD76" s="46" t="s">
        <v>29</v>
      </c>
      <c r="AE76" s="41"/>
      <c r="AF76" s="21">
        <v>1.1466501732700401E-2</v>
      </c>
      <c r="AG76" s="21">
        <v>2.1013634443211499E-2</v>
      </c>
      <c r="AH76" s="58"/>
      <c r="AI76" s="40" t="s">
        <v>92</v>
      </c>
      <c r="AJ76" s="46" t="s">
        <v>29</v>
      </c>
      <c r="AK76" s="40" t="s">
        <v>80</v>
      </c>
      <c r="AL76" s="46" t="s">
        <v>29</v>
      </c>
      <c r="AM76" s="41"/>
      <c r="AN76" s="21">
        <v>1.21912164018519E-2</v>
      </c>
      <c r="AO76" s="21">
        <v>2.1125738980495599E-2</v>
      </c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58"/>
      <c r="BK76" s="58"/>
      <c r="BL76" s="58"/>
      <c r="BM76" s="58"/>
      <c r="BN76" s="58"/>
      <c r="BO76" s="58"/>
      <c r="BP76" s="58"/>
      <c r="BQ76" s="58"/>
      <c r="BR76" s="58"/>
      <c r="BS76" s="58"/>
      <c r="BT76" s="58"/>
      <c r="BU76" s="58"/>
      <c r="BV76" s="58"/>
      <c r="BW76" s="58"/>
      <c r="BX76" s="58"/>
      <c r="BY76" s="58"/>
      <c r="BZ76" s="58"/>
      <c r="CA76" s="58"/>
      <c r="CB76" s="58"/>
      <c r="CC76" s="58"/>
      <c r="CD76" s="58"/>
      <c r="CE76" s="58"/>
      <c r="CF76" s="58"/>
      <c r="CG76" s="58"/>
      <c r="CH76" s="58"/>
      <c r="CI76" s="58"/>
      <c r="CJ76" s="58"/>
      <c r="CK76" s="58"/>
      <c r="CL76" s="58"/>
      <c r="CM76" s="58"/>
      <c r="CN76" s="58"/>
      <c r="CO76" s="58"/>
      <c r="CP76" s="58"/>
      <c r="CQ76" s="58"/>
      <c r="CR76" s="58"/>
      <c r="CS76" s="58"/>
      <c r="CT76" s="58"/>
      <c r="CU76" s="58"/>
      <c r="CV76" s="58"/>
      <c r="CW76" s="58"/>
      <c r="CX76" s="58"/>
      <c r="CY76" s="58"/>
      <c r="CZ76" s="58"/>
      <c r="DA76" s="58"/>
      <c r="DB76" s="58"/>
      <c r="DC76" s="58"/>
      <c r="DD76" s="58"/>
      <c r="DE76" s="58"/>
      <c r="DF76" s="58"/>
      <c r="DG76" s="58"/>
      <c r="DH76" s="58"/>
      <c r="DI76" s="58"/>
      <c r="DJ76" s="58"/>
      <c r="DK76" s="58"/>
      <c r="DL76" s="58"/>
    </row>
    <row r="77" spans="1:116" s="54" customFormat="1">
      <c r="A77" s="59">
        <v>44669</v>
      </c>
      <c r="B77" s="40" t="s">
        <v>72</v>
      </c>
      <c r="C77" s="40" t="s">
        <v>81</v>
      </c>
      <c r="D77" s="46" t="s">
        <v>29</v>
      </c>
      <c r="E77" s="40" t="s">
        <v>80</v>
      </c>
      <c r="F77" s="46" t="s">
        <v>29</v>
      </c>
      <c r="G77" s="41"/>
      <c r="H77" s="21">
        <v>7.1160199108257398E-3</v>
      </c>
      <c r="I77" s="21">
        <v>0.120994955199714</v>
      </c>
      <c r="J77" s="58"/>
      <c r="L77" s="55" t="s">
        <v>29</v>
      </c>
      <c r="M77" s="54" t="s">
        <v>80</v>
      </c>
      <c r="N77" s="55" t="s">
        <v>29</v>
      </c>
      <c r="O77" s="56"/>
      <c r="R77" s="58"/>
      <c r="T77" s="55" t="s">
        <v>29</v>
      </c>
      <c r="U77" s="54" t="s">
        <v>80</v>
      </c>
      <c r="V77" s="55" t="s">
        <v>29</v>
      </c>
      <c r="W77" s="56"/>
      <c r="Z77" s="58"/>
      <c r="AA77" s="40" t="s">
        <v>90</v>
      </c>
      <c r="AB77" s="46" t="s">
        <v>29</v>
      </c>
      <c r="AC77" s="40" t="s">
        <v>80</v>
      </c>
      <c r="AD77" s="46" t="s">
        <v>29</v>
      </c>
      <c r="AE77" s="41"/>
      <c r="AF77" s="21">
        <v>1.1937489450985101E-2</v>
      </c>
      <c r="AG77" s="21">
        <v>3.6390758061982803E-2</v>
      </c>
      <c r="AH77" s="58"/>
      <c r="AI77" s="40" t="s">
        <v>92</v>
      </c>
      <c r="AJ77" s="46" t="s">
        <v>29</v>
      </c>
      <c r="AK77" s="40" t="s">
        <v>80</v>
      </c>
      <c r="AL77" s="46" t="s">
        <v>29</v>
      </c>
      <c r="AM77" s="41"/>
      <c r="AN77" s="21">
        <v>1.0836169698111501E-2</v>
      </c>
      <c r="AO77" s="21">
        <v>2.8331509794399402E-2</v>
      </c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B77" s="58"/>
      <c r="BC77" s="58"/>
      <c r="BD77" s="58"/>
      <c r="BE77" s="58"/>
      <c r="BF77" s="58"/>
      <c r="BG77" s="58"/>
      <c r="BH77" s="58"/>
      <c r="BI77" s="58"/>
      <c r="BJ77" s="58"/>
      <c r="BK77" s="58"/>
      <c r="BL77" s="58"/>
      <c r="BM77" s="58"/>
      <c r="BN77" s="58"/>
      <c r="BO77" s="58"/>
      <c r="BP77" s="58"/>
      <c r="BQ77" s="58"/>
      <c r="BR77" s="58"/>
      <c r="BS77" s="58"/>
      <c r="BT77" s="58"/>
      <c r="BU77" s="58"/>
      <c r="BV77" s="58"/>
      <c r="BW77" s="58"/>
      <c r="BX77" s="58"/>
      <c r="BY77" s="58"/>
      <c r="BZ77" s="58"/>
      <c r="CA77" s="58"/>
      <c r="CB77" s="58"/>
      <c r="CC77" s="58"/>
      <c r="CD77" s="58"/>
      <c r="CE77" s="58"/>
      <c r="CF77" s="58"/>
      <c r="CG77" s="58"/>
      <c r="CH77" s="58"/>
      <c r="CI77" s="58"/>
      <c r="CJ77" s="58"/>
      <c r="CK77" s="58"/>
      <c r="CL77" s="58"/>
      <c r="CM77" s="58"/>
      <c r="CN77" s="58"/>
      <c r="CO77" s="58"/>
      <c r="CP77" s="58"/>
      <c r="CQ77" s="58"/>
      <c r="CR77" s="58"/>
      <c r="CS77" s="58"/>
      <c r="CT77" s="58"/>
      <c r="CU77" s="58"/>
      <c r="CV77" s="58"/>
      <c r="CW77" s="58"/>
      <c r="CX77" s="58"/>
      <c r="CY77" s="58"/>
      <c r="CZ77" s="58"/>
      <c r="DA77" s="58"/>
      <c r="DB77" s="58"/>
      <c r="DC77" s="58"/>
      <c r="DD77" s="58"/>
      <c r="DE77" s="58"/>
      <c r="DF77" s="58"/>
      <c r="DG77" s="58"/>
      <c r="DH77" s="58"/>
      <c r="DI77" s="58"/>
      <c r="DJ77" s="58"/>
      <c r="DK77" s="58"/>
      <c r="DL77" s="58"/>
    </row>
    <row r="78" spans="1:116" s="54" customFormat="1">
      <c r="A78" s="59">
        <v>44669</v>
      </c>
      <c r="B78" s="40" t="s">
        <v>73</v>
      </c>
      <c r="C78" s="40" t="s">
        <v>81</v>
      </c>
      <c r="D78" s="46" t="s">
        <v>29</v>
      </c>
      <c r="E78" s="40" t="s">
        <v>80</v>
      </c>
      <c r="F78" s="46" t="s">
        <v>29</v>
      </c>
      <c r="G78" s="41"/>
      <c r="H78" s="21">
        <v>8.1922948203845599E-3</v>
      </c>
      <c r="I78" s="21">
        <v>4.7570368401903401E-2</v>
      </c>
      <c r="J78" s="58"/>
      <c r="L78" s="55" t="s">
        <v>29</v>
      </c>
      <c r="M78" s="54" t="s">
        <v>80</v>
      </c>
      <c r="N78" s="55" t="s">
        <v>29</v>
      </c>
      <c r="O78" s="56"/>
      <c r="R78" s="58"/>
      <c r="T78" s="55" t="s">
        <v>29</v>
      </c>
      <c r="U78" s="54" t="s">
        <v>80</v>
      </c>
      <c r="V78" s="55" t="s">
        <v>29</v>
      </c>
      <c r="W78" s="56"/>
      <c r="Z78" s="58"/>
      <c r="AA78" s="40" t="s">
        <v>90</v>
      </c>
      <c r="AB78" s="46" t="s">
        <v>29</v>
      </c>
      <c r="AC78" s="40" t="s">
        <v>80</v>
      </c>
      <c r="AD78" s="46" t="s">
        <v>29</v>
      </c>
      <c r="AE78" s="41"/>
      <c r="AF78" s="21">
        <v>1.24624602974339E-2</v>
      </c>
      <c r="AG78" s="21">
        <v>3.1694918275369598E-2</v>
      </c>
      <c r="AH78" s="58"/>
      <c r="AI78" s="40" t="s">
        <v>92</v>
      </c>
      <c r="AJ78" s="46" t="s">
        <v>29</v>
      </c>
      <c r="AK78" s="40" t="s">
        <v>80</v>
      </c>
      <c r="AL78" s="46" t="s">
        <v>29</v>
      </c>
      <c r="AM78" s="41"/>
      <c r="AN78" s="21">
        <v>1.26345012506232E-2</v>
      </c>
      <c r="AO78" s="21">
        <v>1.9302225703960198E-2</v>
      </c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8"/>
      <c r="BA78" s="58"/>
      <c r="BB78" s="58"/>
      <c r="BC78" s="58"/>
      <c r="BD78" s="58"/>
      <c r="BE78" s="58"/>
      <c r="BF78" s="58"/>
      <c r="BG78" s="58"/>
      <c r="BH78" s="58"/>
      <c r="BI78" s="58"/>
      <c r="BJ78" s="58"/>
      <c r="BK78" s="58"/>
      <c r="BL78" s="58"/>
      <c r="BM78" s="58"/>
      <c r="BN78" s="58"/>
      <c r="BO78" s="58"/>
      <c r="BP78" s="58"/>
      <c r="BQ78" s="58"/>
      <c r="BR78" s="58"/>
      <c r="BS78" s="58"/>
      <c r="BT78" s="58"/>
      <c r="BU78" s="58"/>
      <c r="BV78" s="58"/>
      <c r="BW78" s="58"/>
      <c r="BX78" s="58"/>
      <c r="BY78" s="58"/>
      <c r="BZ78" s="58"/>
      <c r="CA78" s="58"/>
      <c r="CB78" s="58"/>
      <c r="CC78" s="58"/>
      <c r="CD78" s="58"/>
      <c r="CE78" s="58"/>
      <c r="CF78" s="58"/>
      <c r="CG78" s="58"/>
      <c r="CH78" s="58"/>
      <c r="CI78" s="58"/>
      <c r="CJ78" s="58"/>
      <c r="CK78" s="58"/>
      <c r="CL78" s="58"/>
      <c r="CM78" s="58"/>
      <c r="CN78" s="58"/>
      <c r="CO78" s="58"/>
      <c r="CP78" s="58"/>
      <c r="CQ78" s="58"/>
      <c r="CR78" s="58"/>
      <c r="CS78" s="58"/>
      <c r="CT78" s="58"/>
      <c r="CU78" s="58"/>
      <c r="CV78" s="58"/>
      <c r="CW78" s="58"/>
      <c r="CX78" s="58"/>
      <c r="CY78" s="58"/>
      <c r="CZ78" s="58"/>
      <c r="DA78" s="58"/>
      <c r="DB78" s="58"/>
      <c r="DC78" s="58"/>
      <c r="DD78" s="58"/>
      <c r="DE78" s="58"/>
      <c r="DF78" s="58"/>
      <c r="DG78" s="58"/>
      <c r="DH78" s="58"/>
      <c r="DI78" s="58"/>
      <c r="DJ78" s="58"/>
      <c r="DK78" s="58"/>
      <c r="DL78" s="58"/>
    </row>
    <row r="79" spans="1:116">
      <c r="A79" s="59">
        <v>44669</v>
      </c>
      <c r="B79" s="40" t="s">
        <v>74</v>
      </c>
      <c r="C79" s="40" t="s">
        <v>81</v>
      </c>
      <c r="D79" s="46" t="s">
        <v>29</v>
      </c>
      <c r="E79" s="40" t="s">
        <v>80</v>
      </c>
      <c r="F79" s="46" t="s">
        <v>29</v>
      </c>
      <c r="G79" s="41"/>
      <c r="H79" s="21">
        <v>7.2614073627228701E-3</v>
      </c>
      <c r="I79" s="21">
        <v>5.2343759544617799E-2</v>
      </c>
      <c r="K79" s="40" t="s">
        <v>86</v>
      </c>
      <c r="L79" s="46" t="s">
        <v>29</v>
      </c>
      <c r="M79" s="40" t="s">
        <v>80</v>
      </c>
      <c r="N79" s="46" t="s">
        <v>29</v>
      </c>
      <c r="O79" s="41"/>
      <c r="P79" s="21">
        <v>4.5426708571304703E-3</v>
      </c>
      <c r="Q79" s="21">
        <v>4.7799219782225302E-2</v>
      </c>
      <c r="S79" s="40" t="s">
        <v>87</v>
      </c>
      <c r="T79" s="46" t="s">
        <v>29</v>
      </c>
      <c r="U79" s="40" t="s">
        <v>80</v>
      </c>
      <c r="V79" s="46" t="s">
        <v>29</v>
      </c>
      <c r="W79" s="41"/>
      <c r="X79" s="21">
        <v>4.42598231207335E-3</v>
      </c>
      <c r="Y79" s="21">
        <v>7.7062885814691506E-2</v>
      </c>
      <c r="AA79" s="40" t="s">
        <v>90</v>
      </c>
      <c r="AB79" s="46" t="s">
        <v>29</v>
      </c>
      <c r="AC79" s="40" t="s">
        <v>80</v>
      </c>
      <c r="AD79" s="46" t="s">
        <v>29</v>
      </c>
      <c r="AE79" s="41"/>
      <c r="AF79" s="21">
        <v>1.1937489450985101E-2</v>
      </c>
      <c r="AG79" s="21">
        <v>3.6390758061982803E-2</v>
      </c>
      <c r="AI79" s="40" t="s">
        <v>92</v>
      </c>
      <c r="AJ79" s="46" t="s">
        <v>29</v>
      </c>
      <c r="AK79" s="40" t="s">
        <v>80</v>
      </c>
      <c r="AL79" s="46" t="s">
        <v>29</v>
      </c>
      <c r="AM79" s="41"/>
      <c r="AN79" s="21">
        <v>1.2885570324866801E-2</v>
      </c>
      <c r="AO79" s="21">
        <v>2.3767179063246598E-2</v>
      </c>
    </row>
    <row r="80" spans="1:116">
      <c r="A80" s="59">
        <v>44669</v>
      </c>
      <c r="B80" s="40" t="s">
        <v>75</v>
      </c>
      <c r="C80" s="40" t="s">
        <v>81</v>
      </c>
      <c r="D80" s="46" t="s">
        <v>29</v>
      </c>
      <c r="E80" s="40" t="s">
        <v>80</v>
      </c>
      <c r="F80" s="46" t="s">
        <v>29</v>
      </c>
      <c r="G80" s="41"/>
      <c r="H80" s="21">
        <v>6.9789526609321303E-3</v>
      </c>
      <c r="I80" s="21">
        <v>4.5403921237506903E-2</v>
      </c>
      <c r="K80" s="40" t="s">
        <v>86</v>
      </c>
      <c r="L80" s="46" t="s">
        <v>29</v>
      </c>
      <c r="M80" s="40" t="s">
        <v>80</v>
      </c>
      <c r="N80" s="46" t="s">
        <v>29</v>
      </c>
      <c r="O80" s="41"/>
      <c r="P80" s="21">
        <v>8.0795286563066903E-3</v>
      </c>
      <c r="Q80" s="21">
        <v>5.4220280307462398E-2</v>
      </c>
      <c r="S80" s="40" t="s">
        <v>87</v>
      </c>
      <c r="T80" s="46" t="s">
        <v>29</v>
      </c>
      <c r="U80" s="40" t="s">
        <v>80</v>
      </c>
      <c r="V80" s="46" t="s">
        <v>29</v>
      </c>
      <c r="W80" s="41"/>
      <c r="X80" s="21">
        <v>8.4364946564328205E-3</v>
      </c>
      <c r="Y80" s="21">
        <v>4.7620912223693801E-2</v>
      </c>
      <c r="AA80" s="40" t="s">
        <v>90</v>
      </c>
      <c r="AB80" s="46" t="s">
        <v>29</v>
      </c>
      <c r="AC80" s="40" t="s">
        <v>80</v>
      </c>
      <c r="AD80" s="46" t="s">
        <v>29</v>
      </c>
      <c r="AE80" s="41"/>
      <c r="AF80" s="21">
        <v>1.2889705434265999E-2</v>
      </c>
      <c r="AG80" s="21">
        <v>2.1368482730912599E-2</v>
      </c>
      <c r="AI80" s="40" t="s">
        <v>92</v>
      </c>
      <c r="AJ80" s="46" t="s">
        <v>29</v>
      </c>
      <c r="AK80" s="40" t="s">
        <v>80</v>
      </c>
      <c r="AL80" s="46" t="s">
        <v>29</v>
      </c>
      <c r="AM80" s="41"/>
      <c r="AN80" s="21">
        <v>1.2417431861229299E-2</v>
      </c>
      <c r="AO80" s="21">
        <v>1.65354944324217E-2</v>
      </c>
    </row>
    <row r="82" spans="1:41">
      <c r="A82" s="42">
        <v>44670</v>
      </c>
      <c r="B82" s="43" t="s">
        <v>76</v>
      </c>
      <c r="C82" s="43" t="s">
        <v>81</v>
      </c>
      <c r="D82" s="47" t="s">
        <v>29</v>
      </c>
      <c r="E82" s="43" t="s">
        <v>80</v>
      </c>
      <c r="F82" s="47" t="s">
        <v>29</v>
      </c>
      <c r="G82" s="44"/>
      <c r="H82" s="21">
        <v>7.6938971456556801E-3</v>
      </c>
      <c r="I82" s="21">
        <v>4.1926052224909999E-2</v>
      </c>
      <c r="K82" s="43" t="s">
        <v>88</v>
      </c>
      <c r="L82" s="47" t="s">
        <v>29</v>
      </c>
      <c r="M82" s="43" t="s">
        <v>80</v>
      </c>
      <c r="N82" s="47" t="s">
        <v>29</v>
      </c>
      <c r="O82" s="44"/>
      <c r="P82" s="21">
        <v>8.2802756318233993E-3</v>
      </c>
      <c r="Q82" s="21">
        <v>3.3630786263231897E-2</v>
      </c>
      <c r="S82" s="43" t="s">
        <v>89</v>
      </c>
      <c r="T82" s="47" t="s">
        <v>29</v>
      </c>
      <c r="U82" s="43" t="s">
        <v>80</v>
      </c>
      <c r="V82" s="47" t="s">
        <v>29</v>
      </c>
      <c r="W82" s="44"/>
      <c r="X82" s="21">
        <v>8.6765514744291897E-3</v>
      </c>
      <c r="Y82" s="21">
        <v>4.2839559755963E-2</v>
      </c>
      <c r="AA82" s="43" t="s">
        <v>91</v>
      </c>
      <c r="AB82" s="47" t="s">
        <v>29</v>
      </c>
      <c r="AC82" s="43" t="s">
        <v>80</v>
      </c>
      <c r="AD82" s="47" t="s">
        <v>29</v>
      </c>
      <c r="AE82" s="44"/>
      <c r="AF82" s="21">
        <v>1.15598424925563E-2</v>
      </c>
      <c r="AG82" s="21">
        <v>2.06164626613498E-2</v>
      </c>
      <c r="AI82" s="43" t="s">
        <v>92</v>
      </c>
      <c r="AJ82" s="47" t="s">
        <v>29</v>
      </c>
      <c r="AK82" s="43" t="s">
        <v>80</v>
      </c>
      <c r="AL82" s="47" t="s">
        <v>29</v>
      </c>
      <c r="AM82" s="44"/>
      <c r="AN82" s="21">
        <v>1.24605285374184E-2</v>
      </c>
      <c r="AO82" s="21">
        <v>1.95628461570737E-2</v>
      </c>
    </row>
    <row r="83" spans="1:41">
      <c r="A83" s="42">
        <v>44670</v>
      </c>
      <c r="B83" s="43" t="s">
        <v>77</v>
      </c>
      <c r="C83" s="43" t="s">
        <v>81</v>
      </c>
      <c r="D83" s="47" t="s">
        <v>29</v>
      </c>
      <c r="E83" s="43" t="s">
        <v>80</v>
      </c>
      <c r="F83" s="47" t="s">
        <v>29</v>
      </c>
      <c r="G83" s="44"/>
      <c r="H83" s="21">
        <v>7.2606014125895296E-3</v>
      </c>
      <c r="I83" s="21">
        <v>7.7735785990514394E-2</v>
      </c>
      <c r="K83" s="43" t="s">
        <v>88</v>
      </c>
      <c r="L83" s="47" t="s">
        <v>29</v>
      </c>
      <c r="M83" s="43" t="s">
        <v>80</v>
      </c>
      <c r="N83" s="47" t="s">
        <v>29</v>
      </c>
      <c r="O83" s="44"/>
      <c r="P83" s="21">
        <v>4.9973659619981696E-3</v>
      </c>
      <c r="Q83" s="21">
        <v>5.2333089676473502E-2</v>
      </c>
      <c r="S83" s="43" t="s">
        <v>89</v>
      </c>
      <c r="T83" s="47" t="s">
        <v>29</v>
      </c>
      <c r="U83" s="43" t="s">
        <v>80</v>
      </c>
      <c r="V83" s="47" t="s">
        <v>29</v>
      </c>
      <c r="W83" s="44"/>
      <c r="X83" s="21">
        <v>4.1364313688057397E-3</v>
      </c>
      <c r="Y83" s="21">
        <v>9.4375790696867898E-2</v>
      </c>
      <c r="AA83" s="43" t="s">
        <v>91</v>
      </c>
      <c r="AB83" s="47" t="s">
        <v>29</v>
      </c>
      <c r="AC83" s="43" t="s">
        <v>80</v>
      </c>
      <c r="AD83" s="47" t="s">
        <v>29</v>
      </c>
      <c r="AE83" s="44"/>
      <c r="AF83" s="21">
        <v>1.15880988135902E-2</v>
      </c>
      <c r="AG83" s="21">
        <v>2.8687506131712399E-2</v>
      </c>
      <c r="AI83" s="43" t="s">
        <v>92</v>
      </c>
      <c r="AJ83" s="47" t="s">
        <v>29</v>
      </c>
      <c r="AK83" s="43" t="s">
        <v>80</v>
      </c>
      <c r="AL83" s="47" t="s">
        <v>29</v>
      </c>
      <c r="AM83" s="44"/>
      <c r="AN83" s="21">
        <v>1.0986851259893E-2</v>
      </c>
      <c r="AO83" s="21">
        <v>2.5021528568479501E-2</v>
      </c>
    </row>
    <row r="84" spans="1:41">
      <c r="A84" s="42">
        <v>44670</v>
      </c>
      <c r="B84" s="43" t="s">
        <v>78</v>
      </c>
      <c r="C84" s="43" t="s">
        <v>81</v>
      </c>
      <c r="D84" s="47" t="s">
        <v>29</v>
      </c>
      <c r="E84" s="43" t="s">
        <v>80</v>
      </c>
      <c r="F84" s="47" t="s">
        <v>29</v>
      </c>
      <c r="G84" s="44"/>
      <c r="H84" s="21">
        <v>7.06432673439114E-3</v>
      </c>
      <c r="I84" s="21">
        <v>4.0721315643450398E-2</v>
      </c>
      <c r="K84" s="43" t="s">
        <v>88</v>
      </c>
      <c r="L84" s="47" t="s">
        <v>29</v>
      </c>
      <c r="M84" s="43" t="s">
        <v>80</v>
      </c>
      <c r="N84" s="47" t="s">
        <v>29</v>
      </c>
      <c r="O84" s="44"/>
      <c r="P84" s="21">
        <v>7.9406834288239699E-3</v>
      </c>
      <c r="Q84" s="21">
        <v>2.7616017246509899E-2</v>
      </c>
      <c r="S84" s="43" t="s">
        <v>89</v>
      </c>
      <c r="T84" s="47" t="s">
        <v>29</v>
      </c>
      <c r="U84" s="43" t="s">
        <v>80</v>
      </c>
      <c r="V84" s="47" t="s">
        <v>29</v>
      </c>
      <c r="W84" s="44"/>
      <c r="X84" s="21">
        <v>8.7691799296644498E-3</v>
      </c>
      <c r="Y84" s="21">
        <v>3.21517165349125E-2</v>
      </c>
      <c r="AA84" s="43" t="s">
        <v>91</v>
      </c>
      <c r="AB84" s="47" t="s">
        <v>29</v>
      </c>
      <c r="AC84" s="43" t="s">
        <v>80</v>
      </c>
      <c r="AD84" s="47" t="s">
        <v>29</v>
      </c>
      <c r="AE84" s="44"/>
      <c r="AF84" s="21">
        <v>1.20117899028778E-2</v>
      </c>
      <c r="AG84" s="21">
        <v>2.0093751674147699E-2</v>
      </c>
      <c r="AI84" s="43" t="s">
        <v>92</v>
      </c>
      <c r="AJ84" s="47" t="s">
        <v>29</v>
      </c>
      <c r="AK84" s="43" t="s">
        <v>80</v>
      </c>
      <c r="AL84" s="47" t="s">
        <v>29</v>
      </c>
      <c r="AM84" s="44"/>
      <c r="AN84" s="21">
        <v>1.2369462073775201E-2</v>
      </c>
      <c r="AO84" s="21">
        <v>2.0554708838889199E-2</v>
      </c>
    </row>
    <row r="85" spans="1:41">
      <c r="A85" s="42">
        <v>44670</v>
      </c>
      <c r="B85" s="43" t="s">
        <v>79</v>
      </c>
      <c r="C85" s="43" t="s">
        <v>81</v>
      </c>
      <c r="D85" s="47" t="s">
        <v>29</v>
      </c>
      <c r="E85" s="43" t="s">
        <v>80</v>
      </c>
      <c r="F85" s="47" t="s">
        <v>29</v>
      </c>
      <c r="G85" s="44"/>
      <c r="H85" s="21">
        <v>8.2853032174349407E-3</v>
      </c>
      <c r="I85" s="21">
        <v>4.56556605257597E-2</v>
      </c>
      <c r="K85" s="43" t="s">
        <v>88</v>
      </c>
      <c r="L85" s="47" t="s">
        <v>29</v>
      </c>
      <c r="M85" s="43" t="s">
        <v>80</v>
      </c>
      <c r="N85" s="47" t="s">
        <v>29</v>
      </c>
      <c r="O85" s="44"/>
      <c r="P85" s="21">
        <v>5.2323981100175698E-3</v>
      </c>
      <c r="Q85" s="21">
        <v>4.0144089739005399E-2</v>
      </c>
      <c r="S85" s="43" t="s">
        <v>89</v>
      </c>
      <c r="T85" s="47" t="s">
        <v>29</v>
      </c>
      <c r="U85" s="43" t="s">
        <v>80</v>
      </c>
      <c r="V85" s="47" t="s">
        <v>29</v>
      </c>
      <c r="W85" s="44"/>
      <c r="X85" s="21">
        <v>4.6785409181953896E-3</v>
      </c>
      <c r="Y85" s="21">
        <v>4.8345806172400897E-2</v>
      </c>
      <c r="AA85" s="43" t="s">
        <v>91</v>
      </c>
      <c r="AB85" s="47" t="s">
        <v>29</v>
      </c>
      <c r="AC85" s="43" t="s">
        <v>80</v>
      </c>
      <c r="AD85" s="47" t="s">
        <v>29</v>
      </c>
      <c r="AE85" s="44"/>
      <c r="AF85" s="21">
        <v>1.0800418248095099E-2</v>
      </c>
      <c r="AG85" s="21">
        <v>3.1203216703961801E-2</v>
      </c>
      <c r="AI85" s="43" t="s">
        <v>92</v>
      </c>
      <c r="AJ85" s="47" t="s">
        <v>29</v>
      </c>
      <c r="AK85" s="43" t="s">
        <v>80</v>
      </c>
      <c r="AL85" s="47" t="s">
        <v>29</v>
      </c>
      <c r="AM85" s="44"/>
      <c r="AN85" s="21">
        <v>1.41763472399295E-2</v>
      </c>
      <c r="AO85" s="21">
        <v>2.5395939682593901E-2</v>
      </c>
    </row>
    <row r="86" spans="1:41">
      <c r="A86" s="42">
        <v>44670</v>
      </c>
      <c r="B86" s="43" t="s">
        <v>82</v>
      </c>
      <c r="C86" s="43" t="s">
        <v>81</v>
      </c>
      <c r="D86" s="47" t="s">
        <v>29</v>
      </c>
      <c r="E86" s="43" t="s">
        <v>80</v>
      </c>
      <c r="F86" s="47" t="s">
        <v>29</v>
      </c>
      <c r="G86" s="44"/>
      <c r="K86" s="43" t="s">
        <v>88</v>
      </c>
      <c r="L86" s="47" t="s">
        <v>29</v>
      </c>
      <c r="M86" s="43" t="s">
        <v>80</v>
      </c>
      <c r="N86" s="47" t="s">
        <v>29</v>
      </c>
      <c r="O86" s="44"/>
      <c r="P86" s="21">
        <v>8.64800548610648E-3</v>
      </c>
      <c r="Q86" s="21">
        <v>2.36831740840148E-2</v>
      </c>
      <c r="S86" s="43" t="s">
        <v>89</v>
      </c>
      <c r="T86" s="47" t="s">
        <v>29</v>
      </c>
      <c r="U86" s="43" t="s">
        <v>80</v>
      </c>
      <c r="V86" s="47" t="s">
        <v>29</v>
      </c>
      <c r="W86" s="44"/>
      <c r="X86" s="21">
        <v>8.9137462216216795E-3</v>
      </c>
      <c r="Y86" s="21">
        <v>2.3225457867913801E-2</v>
      </c>
      <c r="AA86" s="43" t="s">
        <v>91</v>
      </c>
      <c r="AB86" s="47" t="s">
        <v>29</v>
      </c>
      <c r="AC86" s="43" t="s">
        <v>80</v>
      </c>
      <c r="AD86" s="47" t="s">
        <v>29</v>
      </c>
      <c r="AE86" s="44"/>
      <c r="AF86" s="21">
        <v>1.23547149033769E-2</v>
      </c>
      <c r="AG86" s="21">
        <v>2.06020303655771E-2</v>
      </c>
      <c r="AI86" s="43" t="s">
        <v>92</v>
      </c>
      <c r="AJ86" s="47" t="s">
        <v>29</v>
      </c>
      <c r="AK86" s="43" t="s">
        <v>80</v>
      </c>
      <c r="AL86" s="47" t="s">
        <v>29</v>
      </c>
      <c r="AM86" s="44"/>
      <c r="AN86" s="21">
        <v>1.1582022692250799E-2</v>
      </c>
      <c r="AO86" s="21">
        <v>2.36987539371998E-2</v>
      </c>
    </row>
    <row r="87" spans="1:41">
      <c r="S87" t="s">
        <v>93</v>
      </c>
    </row>
    <row r="94" spans="1:41">
      <c r="A94" s="1"/>
    </row>
  </sheetData>
  <phoneticPr fontId="3" type="noConversion"/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5671-5F62-3E41-B24A-1E4B2538EE15}">
  <dimension ref="A14:J92"/>
  <sheetViews>
    <sheetView topLeftCell="A55" workbookViewId="0">
      <selection activeCell="E76" sqref="E76"/>
    </sheetView>
  </sheetViews>
  <sheetFormatPr baseColWidth="10" defaultColWidth="8.83203125" defaultRowHeight="16"/>
  <cols>
    <col min="1" max="1" width="22.33203125" style="114" customWidth="1"/>
    <col min="2" max="2" width="23.5" style="114" customWidth="1"/>
    <col min="3" max="3" width="10.6640625" style="114" customWidth="1"/>
    <col min="4" max="4" width="10.5" style="114" customWidth="1"/>
    <col min="5" max="5" width="11" style="114" customWidth="1"/>
    <col min="6" max="6" width="21.6640625" style="114" customWidth="1"/>
    <col min="7" max="7" width="13.6640625" style="114" customWidth="1"/>
    <col min="8" max="9" width="12" style="114" customWidth="1"/>
    <col min="10" max="10" width="17.33203125" customWidth="1"/>
  </cols>
  <sheetData>
    <row r="14" spans="1:10" ht="17" thickBot="1"/>
    <row r="15" spans="1:10" ht="25.5" customHeight="1" thickTop="1" thickBot="1">
      <c r="A15" s="115"/>
      <c r="B15" s="115"/>
      <c r="C15" s="116"/>
      <c r="D15" s="116"/>
      <c r="E15" s="268" t="s">
        <v>165</v>
      </c>
      <c r="F15" s="269"/>
      <c r="G15" s="117"/>
      <c r="H15" s="118"/>
      <c r="I15" s="118"/>
      <c r="J15" s="118"/>
    </row>
    <row r="16" spans="1:10" ht="18" customHeight="1" thickBot="1">
      <c r="A16" s="119"/>
      <c r="B16" s="119"/>
      <c r="C16" s="120"/>
      <c r="D16" s="120"/>
      <c r="E16" s="270" t="s">
        <v>166</v>
      </c>
      <c r="F16" s="271"/>
      <c r="G16" s="121"/>
      <c r="H16" s="122"/>
      <c r="I16" s="122"/>
      <c r="J16" s="122"/>
    </row>
    <row r="17" spans="1:10" ht="18" customHeight="1">
      <c r="A17" s="119"/>
      <c r="B17" s="120"/>
      <c r="C17" s="123" t="s">
        <v>167</v>
      </c>
      <c r="D17" s="119" t="s">
        <v>168</v>
      </c>
      <c r="E17" s="119"/>
      <c r="F17" s="124"/>
      <c r="G17" s="125"/>
      <c r="H17" s="121"/>
      <c r="I17" s="121"/>
      <c r="J17" s="121"/>
    </row>
    <row r="18" spans="1:10" ht="18" customHeight="1">
      <c r="A18" s="119"/>
      <c r="B18" s="120"/>
      <c r="C18" s="123" t="s">
        <v>169</v>
      </c>
      <c r="D18" s="119" t="s">
        <v>170</v>
      </c>
      <c r="E18" s="119"/>
      <c r="F18" s="124"/>
      <c r="G18" s="125"/>
      <c r="H18" s="121"/>
      <c r="I18" s="121"/>
      <c r="J18" s="121"/>
    </row>
    <row r="19" spans="1:10" ht="18" customHeight="1">
      <c r="A19" s="119"/>
      <c r="B19" s="120"/>
      <c r="C19" s="123" t="s">
        <v>171</v>
      </c>
      <c r="D19" s="126" t="s">
        <v>172</v>
      </c>
      <c r="E19" s="119"/>
      <c r="F19" s="124"/>
      <c r="G19" s="125"/>
      <c r="H19" s="121"/>
      <c r="I19" s="121"/>
      <c r="J19" s="121"/>
    </row>
    <row r="20" spans="1:10" ht="18" customHeight="1">
      <c r="A20" s="119"/>
      <c r="B20" s="120"/>
      <c r="C20" s="123" t="s">
        <v>173</v>
      </c>
      <c r="D20" s="127" t="s">
        <v>174</v>
      </c>
      <c r="E20" s="128"/>
      <c r="F20" s="129"/>
      <c r="G20" s="125"/>
      <c r="H20" s="121"/>
      <c r="I20" s="121"/>
      <c r="J20" s="121"/>
    </row>
    <row r="21" spans="1:10" ht="18" customHeight="1">
      <c r="A21" s="119"/>
      <c r="B21" s="120"/>
      <c r="C21" s="123" t="s">
        <v>175</v>
      </c>
      <c r="D21" s="119" t="s">
        <v>176</v>
      </c>
      <c r="E21" s="119"/>
      <c r="F21" s="120"/>
      <c r="G21" s="120"/>
      <c r="H21" s="120"/>
      <c r="I21" s="120"/>
      <c r="J21" s="130"/>
    </row>
    <row r="22" spans="1:10" ht="18" customHeight="1">
      <c r="A22" s="119"/>
      <c r="B22" s="120"/>
      <c r="C22" s="123" t="s">
        <v>177</v>
      </c>
      <c r="D22" s="119" t="s">
        <v>178</v>
      </c>
      <c r="E22" s="119"/>
      <c r="F22" s="120"/>
      <c r="G22" s="120"/>
      <c r="H22" s="120"/>
      <c r="I22" s="120"/>
      <c r="J22" s="130"/>
    </row>
    <row r="23" spans="1:10" ht="18" customHeight="1">
      <c r="A23" s="119"/>
      <c r="B23" s="120"/>
      <c r="C23" s="123" t="s">
        <v>179</v>
      </c>
      <c r="D23" s="119" t="s">
        <v>180</v>
      </c>
      <c r="E23" s="119"/>
      <c r="F23" s="120"/>
      <c r="G23" s="120"/>
      <c r="H23" s="120"/>
      <c r="I23" s="120"/>
      <c r="J23" s="130"/>
    </row>
    <row r="24" spans="1:10" ht="18" customHeight="1">
      <c r="A24" s="119"/>
      <c r="B24" s="120"/>
      <c r="C24" s="123" t="s">
        <v>181</v>
      </c>
      <c r="D24" s="131" t="s">
        <v>182</v>
      </c>
      <c r="E24" s="119"/>
      <c r="F24" s="120"/>
      <c r="G24" s="120"/>
      <c r="H24" s="120"/>
      <c r="I24" s="120"/>
      <c r="J24" s="130"/>
    </row>
    <row r="25" spans="1:10" ht="18" customHeight="1">
      <c r="A25" s="119"/>
      <c r="B25" s="120"/>
      <c r="C25" s="123" t="s">
        <v>183</v>
      </c>
      <c r="D25" s="132">
        <v>44725</v>
      </c>
      <c r="E25" s="133"/>
      <c r="F25" s="120"/>
      <c r="G25" s="120"/>
      <c r="H25" s="120"/>
      <c r="I25" s="120"/>
      <c r="J25" s="130"/>
    </row>
    <row r="26" spans="1:10" ht="18" customHeight="1">
      <c r="A26" s="119"/>
      <c r="B26" s="120"/>
      <c r="C26" s="123" t="s">
        <v>184</v>
      </c>
      <c r="D26" s="119">
        <v>15</v>
      </c>
      <c r="E26" s="133"/>
      <c r="F26" s="120"/>
      <c r="G26" s="120"/>
      <c r="H26" s="120"/>
      <c r="I26" s="120"/>
      <c r="J26" s="130"/>
    </row>
    <row r="27" spans="1:10" ht="18" customHeight="1">
      <c r="A27" s="119"/>
      <c r="B27" s="120"/>
      <c r="C27" s="123" t="s">
        <v>185</v>
      </c>
      <c r="D27" s="119">
        <v>12</v>
      </c>
      <c r="E27" s="133"/>
      <c r="F27" s="120"/>
      <c r="G27" s="120"/>
      <c r="H27" s="120"/>
      <c r="I27" s="120"/>
      <c r="J27" s="130"/>
    </row>
    <row r="28" spans="1:10" ht="18" customHeight="1">
      <c r="A28" s="119"/>
      <c r="B28" s="120"/>
      <c r="C28" s="123" t="s">
        <v>186</v>
      </c>
      <c r="D28" s="119" t="s">
        <v>187</v>
      </c>
      <c r="E28" s="120"/>
      <c r="F28" s="120"/>
      <c r="G28" s="120"/>
      <c r="H28" s="120"/>
      <c r="I28" s="120"/>
      <c r="J28" s="130"/>
    </row>
    <row r="29" spans="1:10" ht="18" customHeight="1">
      <c r="A29" s="119"/>
      <c r="B29" s="120"/>
      <c r="C29" s="123" t="s">
        <v>188</v>
      </c>
      <c r="D29" s="119" t="s">
        <v>189</v>
      </c>
      <c r="E29" s="133"/>
      <c r="F29" s="120"/>
      <c r="G29" s="120"/>
      <c r="H29" s="120"/>
      <c r="I29" s="120"/>
      <c r="J29" s="130"/>
    </row>
    <row r="30" spans="1:10" ht="18" customHeight="1" thickBot="1">
      <c r="A30" s="119"/>
      <c r="B30" s="120"/>
      <c r="C30" s="123" t="s">
        <v>190</v>
      </c>
      <c r="D30" s="119" t="s">
        <v>191</v>
      </c>
      <c r="E30" s="133"/>
      <c r="F30" s="120"/>
      <c r="G30" s="120"/>
      <c r="H30" s="120"/>
      <c r="I30" s="120"/>
      <c r="J30" s="130"/>
    </row>
    <row r="31" spans="1:10" ht="20" customHeight="1" thickBot="1">
      <c r="A31" s="134" t="s">
        <v>192</v>
      </c>
      <c r="B31" s="135"/>
      <c r="C31" s="135"/>
      <c r="D31" s="135"/>
      <c r="E31" s="136"/>
      <c r="F31" s="134" t="s">
        <v>193</v>
      </c>
      <c r="G31" s="135"/>
      <c r="H31" s="135"/>
      <c r="I31" s="135"/>
      <c r="J31" s="136"/>
    </row>
    <row r="32" spans="1:10" ht="18" customHeight="1">
      <c r="A32" s="137" t="s">
        <v>194</v>
      </c>
      <c r="B32" s="272" t="s">
        <v>195</v>
      </c>
      <c r="C32" s="273"/>
      <c r="D32" s="274"/>
      <c r="E32" s="273"/>
      <c r="F32" s="139" t="s">
        <v>196</v>
      </c>
      <c r="G32" s="140" t="s">
        <v>195</v>
      </c>
      <c r="H32" s="141" t="s">
        <v>197</v>
      </c>
      <c r="I32" s="142"/>
      <c r="J32" s="138"/>
    </row>
    <row r="33" spans="1:10" ht="18" customHeight="1">
      <c r="A33" s="143" t="s">
        <v>187</v>
      </c>
      <c r="B33" s="275" t="s">
        <v>198</v>
      </c>
      <c r="C33" s="276"/>
      <c r="D33" s="277"/>
      <c r="E33" s="278"/>
      <c r="F33" s="143" t="s">
        <v>191</v>
      </c>
      <c r="G33" s="145" t="s">
        <v>199</v>
      </c>
      <c r="H33" s="146" t="s">
        <v>199</v>
      </c>
      <c r="I33" s="147"/>
      <c r="J33" s="144"/>
    </row>
    <row r="34" spans="1:10" ht="18" customHeight="1">
      <c r="A34" s="148" t="s">
        <v>200</v>
      </c>
      <c r="B34" s="279">
        <v>-72.900000000000006</v>
      </c>
      <c r="C34" s="280"/>
      <c r="D34" s="281"/>
      <c r="E34" s="282"/>
      <c r="F34" s="149" t="s">
        <v>201</v>
      </c>
      <c r="G34" s="150">
        <v>-41</v>
      </c>
      <c r="H34" s="151">
        <f>'[1]QAQC, calculations'!M11</f>
        <v>-46.971019574099998</v>
      </c>
      <c r="I34" s="120"/>
      <c r="J34" s="152"/>
    </row>
    <row r="35" spans="1:10" ht="18" customHeight="1">
      <c r="A35" s="153" t="s">
        <v>202</v>
      </c>
      <c r="B35" s="283">
        <f>'[1]QAQC, calculations'!D11</f>
        <v>1.1018919205883408</v>
      </c>
      <c r="C35" s="284"/>
      <c r="D35" s="281"/>
      <c r="E35" s="282"/>
      <c r="F35" s="149" t="s">
        <v>202</v>
      </c>
      <c r="G35" s="155"/>
      <c r="H35" s="154">
        <f>'[1]QAQC, calculations'!M12</f>
        <v>1.1164486703902403</v>
      </c>
      <c r="I35" s="130"/>
      <c r="J35" s="152"/>
    </row>
    <row r="36" spans="1:10" ht="18" customHeight="1">
      <c r="A36" s="156" t="s">
        <v>203</v>
      </c>
      <c r="B36" s="285" t="s">
        <v>195</v>
      </c>
      <c r="C36" s="286"/>
      <c r="D36" s="277"/>
      <c r="E36" s="278"/>
      <c r="F36" s="158" t="s">
        <v>204</v>
      </c>
      <c r="G36" s="157" t="s">
        <v>199</v>
      </c>
      <c r="H36" s="159">
        <f>G34-(2*2)</f>
        <v>-45</v>
      </c>
      <c r="I36" s="130"/>
      <c r="J36" s="152"/>
    </row>
    <row r="37" spans="1:10" ht="18" customHeight="1" thickBot="1">
      <c r="A37" s="143" t="s">
        <v>189</v>
      </c>
      <c r="B37" s="275" t="s">
        <v>198</v>
      </c>
      <c r="C37" s="276"/>
      <c r="D37" s="277"/>
      <c r="E37" s="278"/>
      <c r="F37" s="160" t="s">
        <v>205</v>
      </c>
      <c r="G37" s="161" t="s">
        <v>206</v>
      </c>
      <c r="H37" s="162">
        <f>G34+(2*2)</f>
        <v>-37</v>
      </c>
      <c r="I37" s="130"/>
      <c r="J37" s="152"/>
    </row>
    <row r="38" spans="1:10" ht="18" customHeight="1">
      <c r="A38" s="148" t="s">
        <v>200</v>
      </c>
      <c r="B38" s="279">
        <v>-44.4</v>
      </c>
      <c r="C38" s="295"/>
      <c r="D38" s="281"/>
      <c r="E38" s="296"/>
      <c r="F38" s="147"/>
      <c r="G38" s="147"/>
      <c r="H38" s="147"/>
      <c r="I38" s="147"/>
      <c r="J38" s="163"/>
    </row>
    <row r="39" spans="1:10" ht="23.25" customHeight="1" thickBot="1">
      <c r="A39" s="164" t="s">
        <v>202</v>
      </c>
      <c r="B39" s="297">
        <f>'[1]QAQC, calculations'!H11</f>
        <v>0.70523328343513236</v>
      </c>
      <c r="C39" s="298"/>
      <c r="D39" s="299"/>
      <c r="E39" s="300"/>
      <c r="F39" s="287"/>
      <c r="G39" s="288"/>
      <c r="H39" s="289"/>
      <c r="I39" s="288"/>
      <c r="J39" s="165"/>
    </row>
    <row r="40" spans="1:10" ht="20" customHeight="1" thickBot="1">
      <c r="A40" s="290" t="s">
        <v>207</v>
      </c>
      <c r="B40" s="291"/>
      <c r="C40" s="291"/>
      <c r="D40" s="291"/>
      <c r="E40" s="292"/>
      <c r="F40" s="293" t="s">
        <v>208</v>
      </c>
      <c r="G40" s="294"/>
      <c r="H40" s="294"/>
      <c r="I40" s="291"/>
      <c r="J40" s="292"/>
    </row>
    <row r="41" spans="1:10" ht="18" customHeight="1">
      <c r="A41" s="167" t="s">
        <v>209</v>
      </c>
      <c r="B41" s="168"/>
      <c r="C41" s="169"/>
      <c r="D41" s="169"/>
      <c r="E41" s="170"/>
      <c r="F41" s="171" t="s">
        <v>210</v>
      </c>
      <c r="G41" s="172"/>
      <c r="H41" s="173"/>
      <c r="I41" s="173"/>
      <c r="J41" s="174"/>
    </row>
    <row r="42" spans="1:10" ht="18" customHeight="1">
      <c r="A42" s="175" t="s">
        <v>211</v>
      </c>
      <c r="B42" s="176"/>
      <c r="C42" s="177"/>
      <c r="D42" s="177"/>
      <c r="E42" s="178"/>
      <c r="F42" s="171" t="s">
        <v>212</v>
      </c>
      <c r="G42" s="179"/>
      <c r="H42" s="180"/>
      <c r="I42" s="180"/>
      <c r="J42" s="181"/>
    </row>
    <row r="43" spans="1:10" ht="18" customHeight="1">
      <c r="A43" s="175" t="s">
        <v>213</v>
      </c>
      <c r="B43" s="176"/>
      <c r="C43" s="177"/>
      <c r="D43" s="177"/>
      <c r="E43" s="178"/>
      <c r="F43" s="171" t="s">
        <v>214</v>
      </c>
      <c r="G43" s="182"/>
      <c r="H43" s="180"/>
      <c r="I43" s="180"/>
      <c r="J43" s="181"/>
    </row>
    <row r="44" spans="1:10" ht="18" customHeight="1">
      <c r="A44" s="171" t="s">
        <v>215</v>
      </c>
      <c r="B44" s="183"/>
      <c r="C44" s="184"/>
      <c r="D44" s="184"/>
      <c r="E44" s="185"/>
      <c r="F44" s="171" t="s">
        <v>215</v>
      </c>
      <c r="G44" s="186"/>
      <c r="H44" s="187"/>
      <c r="I44" s="187"/>
      <c r="J44" s="188"/>
    </row>
    <row r="45" spans="1:10" ht="18" customHeight="1" thickBot="1">
      <c r="A45" s="189"/>
      <c r="B45" s="190"/>
      <c r="C45" s="191"/>
      <c r="D45" s="191"/>
      <c r="E45" s="192"/>
      <c r="F45" s="193"/>
      <c r="G45" s="190"/>
      <c r="H45" s="191"/>
      <c r="I45" s="191"/>
      <c r="J45" s="192"/>
    </row>
    <row r="46" spans="1:10" ht="18" customHeight="1">
      <c r="A46" s="194" t="s">
        <v>216</v>
      </c>
      <c r="B46" s="195"/>
      <c r="C46" s="173"/>
      <c r="D46" s="173"/>
      <c r="E46" s="173"/>
      <c r="F46" s="195"/>
      <c r="G46" s="196"/>
      <c r="H46" s="184"/>
      <c r="I46" s="184"/>
      <c r="J46" s="185"/>
    </row>
    <row r="47" spans="1:10" ht="18" customHeight="1">
      <c r="A47" s="197"/>
      <c r="B47" s="198"/>
      <c r="C47" s="180"/>
      <c r="D47" s="180"/>
      <c r="E47" s="180"/>
      <c r="F47" s="198"/>
      <c r="G47" s="198"/>
      <c r="H47" s="180"/>
      <c r="I47" s="180"/>
      <c r="J47" s="181"/>
    </row>
    <row r="48" spans="1:10" ht="18" customHeight="1">
      <c r="A48" s="197"/>
      <c r="B48" s="198"/>
      <c r="C48" s="180"/>
      <c r="D48" s="180"/>
      <c r="E48" s="180"/>
      <c r="F48" s="198"/>
      <c r="G48" s="198"/>
      <c r="H48" s="180"/>
      <c r="I48" s="180"/>
      <c r="J48" s="181"/>
    </row>
    <row r="49" spans="1:10" ht="18" customHeight="1" thickBot="1">
      <c r="A49" s="199"/>
      <c r="B49" s="200"/>
      <c r="C49" s="201"/>
      <c r="D49" s="201"/>
      <c r="E49" s="201"/>
      <c r="F49" s="200"/>
      <c r="G49" s="200"/>
      <c r="H49" s="201"/>
      <c r="I49" s="201"/>
      <c r="J49" s="202"/>
    </row>
    <row r="50" spans="1:10" ht="18" customHeight="1" thickBot="1">
      <c r="A50" s="203" t="s">
        <v>217</v>
      </c>
      <c r="B50" s="204"/>
      <c r="C50" s="204"/>
      <c r="D50" s="204"/>
      <c r="E50" s="205"/>
      <c r="F50" s="206"/>
      <c r="G50" s="207"/>
      <c r="H50" s="207"/>
      <c r="I50" s="207"/>
      <c r="J50" s="208"/>
    </row>
    <row r="51" spans="1:10" ht="18" customHeight="1" thickBot="1">
      <c r="A51" s="209"/>
      <c r="B51" s="210"/>
      <c r="C51" s="210"/>
      <c r="D51" s="210"/>
      <c r="E51" s="210"/>
      <c r="F51" s="210"/>
      <c r="G51" s="210"/>
      <c r="H51" s="210"/>
      <c r="I51" s="210"/>
      <c r="J51" s="211"/>
    </row>
    <row r="52" spans="1:10" s="214" customFormat="1" ht="20" customHeight="1" thickBot="1">
      <c r="A52" s="166" t="s">
        <v>218</v>
      </c>
      <c r="B52" s="212"/>
      <c r="C52" s="212"/>
      <c r="D52" s="212"/>
      <c r="E52" s="212"/>
      <c r="F52" s="212"/>
      <c r="G52" s="212"/>
      <c r="H52" s="212"/>
      <c r="I52" s="212"/>
      <c r="J52" s="213"/>
    </row>
    <row r="53" spans="1:10" ht="18" customHeight="1">
      <c r="A53" s="215" t="s">
        <v>219</v>
      </c>
      <c r="B53" s="216" t="s">
        <v>220</v>
      </c>
      <c r="C53" s="217"/>
      <c r="D53" s="217"/>
      <c r="E53" s="217"/>
      <c r="F53" s="217"/>
      <c r="G53" s="217"/>
      <c r="H53" s="124"/>
      <c r="I53" s="124"/>
      <c r="J53" s="218"/>
    </row>
    <row r="54" spans="1:10" ht="18" customHeight="1">
      <c r="A54" s="219" t="s">
        <v>221</v>
      </c>
      <c r="B54" s="220" t="s">
        <v>222</v>
      </c>
      <c r="C54" s="221"/>
      <c r="D54" s="221"/>
      <c r="E54" s="221"/>
      <c r="F54" s="221"/>
      <c r="G54" s="221"/>
      <c r="H54" s="124"/>
      <c r="I54" s="124"/>
      <c r="J54" s="218"/>
    </row>
    <row r="55" spans="1:10" ht="18" customHeight="1">
      <c r="A55" s="222" t="s">
        <v>223</v>
      </c>
      <c r="B55" s="223" t="s">
        <v>224</v>
      </c>
      <c r="C55" s="224"/>
      <c r="D55" s="224"/>
      <c r="E55" s="224"/>
      <c r="F55" s="224"/>
      <c r="G55" s="224"/>
      <c r="H55" s="124"/>
      <c r="I55" s="124"/>
      <c r="J55" s="218"/>
    </row>
    <row r="56" spans="1:10" ht="18" customHeight="1">
      <c r="A56" s="225" t="s">
        <v>225</v>
      </c>
      <c r="B56" s="226" t="s">
        <v>226</v>
      </c>
      <c r="C56" s="227"/>
      <c r="D56" s="227"/>
      <c r="E56" s="227"/>
      <c r="F56" s="227"/>
      <c r="G56" s="227"/>
      <c r="H56" s="124"/>
      <c r="I56" s="124"/>
      <c r="J56" s="218"/>
    </row>
    <row r="57" spans="1:10" ht="18" customHeight="1">
      <c r="A57" s="228" t="s">
        <v>227</v>
      </c>
      <c r="B57" s="229" t="s">
        <v>228</v>
      </c>
      <c r="C57" s="230"/>
      <c r="D57" s="230"/>
      <c r="E57" s="230"/>
      <c r="F57" s="230"/>
      <c r="G57" s="230"/>
      <c r="H57" s="124"/>
      <c r="I57" s="124"/>
      <c r="J57" s="218"/>
    </row>
    <row r="58" spans="1:10" ht="18" customHeight="1" thickBot="1">
      <c r="A58" s="231" t="s">
        <v>229</v>
      </c>
      <c r="B58" s="232" t="s">
        <v>230</v>
      </c>
      <c r="C58" s="233"/>
      <c r="D58" s="233"/>
      <c r="E58" s="233"/>
      <c r="F58" s="233"/>
      <c r="G58" s="233"/>
      <c r="H58" s="234"/>
      <c r="I58" s="234"/>
      <c r="J58" s="235"/>
    </row>
    <row r="59" spans="1:10" ht="18" customHeight="1" thickBot="1">
      <c r="A59" s="209"/>
      <c r="B59" s="236"/>
      <c r="C59" s="210"/>
      <c r="D59" s="210"/>
      <c r="E59" s="210"/>
      <c r="F59" s="210"/>
      <c r="G59" s="210"/>
      <c r="H59" s="237"/>
      <c r="I59" s="237"/>
      <c r="J59" s="209"/>
    </row>
    <row r="60" spans="1:10" s="214" customFormat="1" ht="20" customHeight="1" thickBot="1">
      <c r="A60" s="134" t="s">
        <v>231</v>
      </c>
      <c r="B60" s="238" t="s">
        <v>232</v>
      </c>
      <c r="C60" s="238"/>
      <c r="D60" s="238" t="s">
        <v>233</v>
      </c>
      <c r="E60" s="238" t="s">
        <v>11</v>
      </c>
      <c r="F60" s="238" t="s">
        <v>154</v>
      </c>
      <c r="G60" s="238"/>
      <c r="H60" s="238" t="s">
        <v>234</v>
      </c>
      <c r="I60" s="238"/>
      <c r="J60" s="239"/>
    </row>
    <row r="61" spans="1:10" ht="18" customHeight="1">
      <c r="A61" s="240" t="s">
        <v>235</v>
      </c>
      <c r="B61" s="241" t="s">
        <v>236</v>
      </c>
      <c r="C61" s="242"/>
      <c r="D61" s="243">
        <v>-46.991678155260004</v>
      </c>
      <c r="E61" s="244"/>
      <c r="F61" s="244"/>
      <c r="G61" s="244"/>
      <c r="H61" s="245" t="s">
        <v>237</v>
      </c>
      <c r="I61" s="246"/>
      <c r="J61" s="247"/>
    </row>
    <row r="62" spans="1:10" ht="18" customHeight="1">
      <c r="A62" s="248" t="s">
        <v>238</v>
      </c>
      <c r="B62" s="249" t="s">
        <v>239</v>
      </c>
      <c r="C62" s="250"/>
      <c r="D62" s="251">
        <v>-81.640580545499986</v>
      </c>
      <c r="E62" s="252"/>
      <c r="F62" s="252"/>
      <c r="G62" s="252"/>
      <c r="H62" s="253" t="s">
        <v>237</v>
      </c>
      <c r="I62" s="124"/>
      <c r="J62" s="218"/>
    </row>
    <row r="63" spans="1:10" ht="18" customHeight="1">
      <c r="A63" s="248" t="s">
        <v>240</v>
      </c>
      <c r="B63" s="249" t="s">
        <v>241</v>
      </c>
      <c r="C63" s="250"/>
      <c r="D63" s="251">
        <v>-82.536093550619995</v>
      </c>
      <c r="E63" s="252">
        <f>AVERAGE(D61:D63)</f>
        <v>-70.38945075046</v>
      </c>
      <c r="F63" s="252">
        <f>STDEV(D61:D63)/SQRT(3)</f>
        <v>11.70174214519793</v>
      </c>
      <c r="G63" s="252"/>
      <c r="H63" s="253" t="s">
        <v>237</v>
      </c>
      <c r="I63" s="124"/>
      <c r="J63" s="218"/>
    </row>
    <row r="64" spans="1:10" ht="18" customHeight="1">
      <c r="A64" s="248" t="s">
        <v>242</v>
      </c>
      <c r="B64" s="249" t="s">
        <v>243</v>
      </c>
      <c r="C64" s="250"/>
      <c r="D64" s="254"/>
      <c r="E64" s="252"/>
      <c r="F64" s="252"/>
      <c r="G64" s="252"/>
      <c r="H64" s="255" t="s">
        <v>244</v>
      </c>
      <c r="I64" s="124"/>
      <c r="J64" s="218"/>
    </row>
    <row r="65" spans="1:10" ht="18" customHeight="1">
      <c r="A65" s="248" t="s">
        <v>245</v>
      </c>
      <c r="B65" s="249" t="s">
        <v>246</v>
      </c>
      <c r="C65" s="250"/>
      <c r="D65" s="254"/>
      <c r="E65" s="252"/>
      <c r="F65" s="252"/>
      <c r="G65" s="252"/>
      <c r="H65" s="255" t="s">
        <v>244</v>
      </c>
      <c r="I65" s="124"/>
      <c r="J65" s="218"/>
    </row>
    <row r="66" spans="1:10" ht="18" customHeight="1">
      <c r="A66" s="248" t="s">
        <v>247</v>
      </c>
      <c r="B66" s="249" t="s">
        <v>248</v>
      </c>
      <c r="C66" s="250"/>
      <c r="D66" s="254"/>
      <c r="E66" s="252"/>
      <c r="F66" s="252"/>
      <c r="G66" s="252"/>
      <c r="H66" s="255" t="s">
        <v>244</v>
      </c>
      <c r="I66" s="124"/>
      <c r="J66" s="218"/>
    </row>
    <row r="67" spans="1:10" ht="18" customHeight="1">
      <c r="A67" s="248" t="s">
        <v>249</v>
      </c>
      <c r="B67" s="249" t="s">
        <v>250</v>
      </c>
      <c r="C67" s="250"/>
      <c r="D67" s="256">
        <v>-102.74916895878</v>
      </c>
      <c r="E67" s="252">
        <f>AVERAGE(D67:D69,D82:D84)</f>
        <v>-104.28011652802998</v>
      </c>
      <c r="F67" s="252">
        <f>STDEV(D67:D69,D82:D84)/SQRT(6)</f>
        <v>0.7415633761601641</v>
      </c>
      <c r="G67" s="252"/>
      <c r="H67" s="124"/>
      <c r="I67" s="124"/>
      <c r="J67" s="218"/>
    </row>
    <row r="68" spans="1:10" ht="18" customHeight="1">
      <c r="A68" s="248" t="s">
        <v>251</v>
      </c>
      <c r="B68" s="249" t="s">
        <v>252</v>
      </c>
      <c r="C68" s="250"/>
      <c r="D68" s="256">
        <v>-102.49058290661999</v>
      </c>
      <c r="E68" s="252"/>
      <c r="F68" s="252"/>
      <c r="G68" s="252"/>
      <c r="H68" s="124"/>
      <c r="I68" s="124"/>
      <c r="J68" s="218"/>
    </row>
    <row r="69" spans="1:10" ht="18" customHeight="1">
      <c r="A69" s="248" t="s">
        <v>253</v>
      </c>
      <c r="B69" s="249" t="s">
        <v>254</v>
      </c>
      <c r="C69" s="250"/>
      <c r="D69" s="256">
        <v>-103.35159035448</v>
      </c>
      <c r="E69" s="252"/>
      <c r="F69" s="252"/>
      <c r="G69" s="252"/>
      <c r="H69" s="124"/>
      <c r="I69" s="124"/>
      <c r="J69" s="218"/>
    </row>
    <row r="70" spans="1:10" ht="18" customHeight="1">
      <c r="A70" s="248" t="s">
        <v>255</v>
      </c>
      <c r="B70" s="249" t="s">
        <v>256</v>
      </c>
      <c r="C70" s="250"/>
      <c r="D70" s="256">
        <v>-104.85455355456</v>
      </c>
      <c r="E70" s="252">
        <f>AVERAGE(D70:D72,D85:D87)</f>
        <v>-107.34824447471999</v>
      </c>
      <c r="F70" s="252">
        <f>STDEV(D70:D72,D85:D87)/SQRT(6)</f>
        <v>1.0473958561986334</v>
      </c>
      <c r="G70" s="252"/>
      <c r="H70" s="124"/>
      <c r="I70" s="124"/>
      <c r="J70" s="218"/>
    </row>
    <row r="71" spans="1:10" ht="18" customHeight="1">
      <c r="A71" s="248" t="s">
        <v>257</v>
      </c>
      <c r="B71" s="249" t="s">
        <v>258</v>
      </c>
      <c r="C71" s="250"/>
      <c r="D71" s="256">
        <v>-104.93201907365999</v>
      </c>
      <c r="E71" s="252"/>
      <c r="F71" s="252"/>
      <c r="G71" s="252"/>
      <c r="H71" s="124"/>
      <c r="I71" s="124"/>
      <c r="J71" s="218"/>
    </row>
    <row r="72" spans="1:10" ht="18" customHeight="1">
      <c r="A72" s="248" t="s">
        <v>259</v>
      </c>
      <c r="B72" s="249" t="s">
        <v>260</v>
      </c>
      <c r="C72" s="250"/>
      <c r="D72" s="256">
        <v>-105.2497779702</v>
      </c>
      <c r="E72" s="252"/>
      <c r="F72" s="252"/>
      <c r="G72" s="252"/>
      <c r="H72" s="124"/>
      <c r="I72" s="124"/>
      <c r="J72" s="218"/>
    </row>
    <row r="73" spans="1:10" ht="18" customHeight="1">
      <c r="A73" s="248" t="s">
        <v>261</v>
      </c>
      <c r="B73" s="249" t="s">
        <v>262</v>
      </c>
      <c r="C73" s="250"/>
      <c r="D73" s="256">
        <v>-70.0119873111</v>
      </c>
      <c r="E73" s="252">
        <f>AVERAGE(D73:D75,D88:D90)</f>
        <v>-72.466597202320017</v>
      </c>
      <c r="F73" s="252">
        <f>STDEV(D73:D75,D88:D90)/SQRT(6)</f>
        <v>0.99248431724382868</v>
      </c>
      <c r="G73" s="252"/>
      <c r="H73" s="124"/>
      <c r="I73" s="124"/>
      <c r="J73" s="218"/>
    </row>
    <row r="74" spans="1:10" ht="18" customHeight="1">
      <c r="A74" s="248" t="s">
        <v>263</v>
      </c>
      <c r="B74" s="249" t="s">
        <v>264</v>
      </c>
      <c r="C74" s="250"/>
      <c r="D74" s="256">
        <v>-70.124242726680009</v>
      </c>
      <c r="E74" s="252"/>
      <c r="F74" s="252"/>
      <c r="G74" s="252"/>
      <c r="H74" s="124"/>
      <c r="I74" s="124"/>
      <c r="J74" s="218"/>
    </row>
    <row r="75" spans="1:10" ht="18" customHeight="1">
      <c r="A75" s="248" t="s">
        <v>265</v>
      </c>
      <c r="B75" s="249" t="s">
        <v>266</v>
      </c>
      <c r="C75" s="250"/>
      <c r="D75" s="256">
        <v>-70.824751057739988</v>
      </c>
      <c r="E75" s="252"/>
      <c r="F75" s="252"/>
      <c r="G75" s="252"/>
      <c r="H75" s="124"/>
      <c r="I75" s="124"/>
      <c r="J75" s="218"/>
    </row>
    <row r="76" spans="1:10" ht="18" customHeight="1">
      <c r="A76" s="248" t="s">
        <v>235</v>
      </c>
      <c r="B76" s="249" t="s">
        <v>236</v>
      </c>
      <c r="C76" s="250"/>
      <c r="D76" s="254"/>
      <c r="E76" s="252"/>
      <c r="F76" s="252"/>
      <c r="G76" s="252"/>
      <c r="H76" s="255" t="s">
        <v>244</v>
      </c>
      <c r="I76" s="124"/>
      <c r="J76" s="218"/>
    </row>
    <row r="77" spans="1:10" ht="18" customHeight="1">
      <c r="A77" s="248" t="s">
        <v>238</v>
      </c>
      <c r="B77" s="249" t="s">
        <v>239</v>
      </c>
      <c r="C77" s="250"/>
      <c r="D77" s="254"/>
      <c r="E77" s="252"/>
      <c r="F77" s="252"/>
      <c r="G77" s="252"/>
      <c r="H77" s="255" t="s">
        <v>244</v>
      </c>
      <c r="I77" s="124"/>
      <c r="J77" s="218"/>
    </row>
    <row r="78" spans="1:10" ht="18" customHeight="1">
      <c r="A78" s="248" t="s">
        <v>240</v>
      </c>
      <c r="B78" s="249" t="s">
        <v>241</v>
      </c>
      <c r="C78" s="250"/>
      <c r="D78" s="254"/>
      <c r="E78" s="252"/>
      <c r="F78" s="252"/>
      <c r="G78" s="252"/>
      <c r="H78" s="255" t="s">
        <v>244</v>
      </c>
      <c r="I78" s="124"/>
      <c r="J78" s="218"/>
    </row>
    <row r="79" spans="1:10" ht="18" customHeight="1">
      <c r="A79" s="248" t="s">
        <v>242</v>
      </c>
      <c r="B79" s="249" t="s">
        <v>243</v>
      </c>
      <c r="C79" s="250"/>
      <c r="D79" s="254"/>
      <c r="E79" s="252"/>
      <c r="F79" s="252"/>
      <c r="G79" s="252"/>
      <c r="H79" s="255" t="s">
        <v>244</v>
      </c>
      <c r="I79" s="124"/>
      <c r="J79" s="218"/>
    </row>
    <row r="80" spans="1:10" ht="18" customHeight="1">
      <c r="A80" s="248" t="s">
        <v>245</v>
      </c>
      <c r="B80" s="249" t="s">
        <v>246</v>
      </c>
      <c r="C80" s="250"/>
      <c r="D80" s="254"/>
      <c r="E80" s="252"/>
      <c r="F80" s="252"/>
      <c r="G80" s="252"/>
      <c r="H80" s="255" t="s">
        <v>244</v>
      </c>
      <c r="I80" s="124"/>
      <c r="J80" s="218"/>
    </row>
    <row r="81" spans="1:10" ht="18" customHeight="1">
      <c r="A81" s="248" t="s">
        <v>247</v>
      </c>
      <c r="B81" s="249" t="s">
        <v>248</v>
      </c>
      <c r="C81" s="250"/>
      <c r="D81" s="254"/>
      <c r="E81" s="252"/>
      <c r="F81" s="252"/>
      <c r="G81" s="252"/>
      <c r="H81" s="255" t="s">
        <v>244</v>
      </c>
      <c r="I81" s="124"/>
      <c r="J81" s="218"/>
    </row>
    <row r="82" spans="1:10" ht="18" customHeight="1">
      <c r="A82" s="248" t="s">
        <v>249</v>
      </c>
      <c r="B82" s="249" t="s">
        <v>250</v>
      </c>
      <c r="C82" s="250"/>
      <c r="D82" s="256">
        <v>-104.0672940947</v>
      </c>
      <c r="E82" s="252"/>
      <c r="F82" s="252"/>
      <c r="G82" s="252"/>
      <c r="H82" s="124"/>
      <c r="I82" s="124"/>
      <c r="J82" s="218"/>
    </row>
    <row r="83" spans="1:10" ht="18" customHeight="1">
      <c r="A83" s="248" t="s">
        <v>251</v>
      </c>
      <c r="B83" s="249" t="s">
        <v>252</v>
      </c>
      <c r="C83" s="250"/>
      <c r="D83" s="256">
        <v>-106.29908878159999</v>
      </c>
      <c r="E83" s="252"/>
      <c r="F83" s="252"/>
      <c r="G83" s="252"/>
      <c r="H83" s="124"/>
      <c r="I83" s="124"/>
      <c r="J83" s="218"/>
    </row>
    <row r="84" spans="1:10" ht="18" customHeight="1">
      <c r="A84" s="248" t="s">
        <v>253</v>
      </c>
      <c r="B84" s="249" t="s">
        <v>254</v>
      </c>
      <c r="C84" s="250"/>
      <c r="D84" s="256">
        <v>-106.722974072</v>
      </c>
      <c r="E84" s="252"/>
      <c r="F84" s="252"/>
      <c r="G84" s="252"/>
      <c r="H84" s="124"/>
      <c r="I84" s="124"/>
      <c r="J84" s="218"/>
    </row>
    <row r="85" spans="1:10" ht="18" customHeight="1">
      <c r="A85" s="248" t="s">
        <v>255</v>
      </c>
      <c r="B85" s="249" t="s">
        <v>256</v>
      </c>
      <c r="C85" s="250"/>
      <c r="D85" s="256">
        <v>-109.8598545167</v>
      </c>
      <c r="E85" s="252"/>
      <c r="F85" s="252"/>
      <c r="G85" s="252"/>
      <c r="H85" s="124"/>
      <c r="I85" s="124"/>
      <c r="J85" s="218"/>
    </row>
    <row r="86" spans="1:10" ht="18" customHeight="1">
      <c r="A86" s="248" t="s">
        <v>257</v>
      </c>
      <c r="B86" s="249" t="s">
        <v>258</v>
      </c>
      <c r="C86" s="250"/>
      <c r="D86" s="256">
        <v>-109.7236611494</v>
      </c>
      <c r="E86" s="252"/>
      <c r="F86" s="252"/>
      <c r="G86" s="252"/>
      <c r="H86" s="124"/>
      <c r="I86" s="124"/>
      <c r="J86" s="218"/>
    </row>
    <row r="87" spans="1:10" ht="18" customHeight="1">
      <c r="A87" s="248" t="s">
        <v>259</v>
      </c>
      <c r="B87" s="249" t="s">
        <v>260</v>
      </c>
      <c r="C87" s="250"/>
      <c r="D87" s="256">
        <v>-109.4696005838</v>
      </c>
      <c r="E87" s="252"/>
      <c r="F87" s="252"/>
      <c r="G87" s="252"/>
      <c r="H87" s="124"/>
      <c r="I87" s="124"/>
      <c r="J87" s="218"/>
    </row>
    <row r="88" spans="1:10" ht="18" customHeight="1">
      <c r="A88" s="248" t="s">
        <v>261</v>
      </c>
      <c r="B88" s="249" t="s">
        <v>262</v>
      </c>
      <c r="C88" s="250"/>
      <c r="D88" s="256">
        <v>-75.235872924500001</v>
      </c>
      <c r="E88" s="252"/>
      <c r="F88" s="252"/>
      <c r="G88" s="252"/>
      <c r="H88" s="124"/>
      <c r="I88" s="124"/>
      <c r="J88" s="218"/>
    </row>
    <row r="89" spans="1:10" ht="18" customHeight="1">
      <c r="A89" s="248" t="s">
        <v>263</v>
      </c>
      <c r="B89" s="249" t="s">
        <v>264</v>
      </c>
      <c r="C89" s="250"/>
      <c r="D89" s="256">
        <v>-74.98756056709999</v>
      </c>
      <c r="E89" s="252"/>
      <c r="F89" s="252"/>
      <c r="G89" s="252"/>
      <c r="H89" s="124"/>
      <c r="I89" s="124"/>
      <c r="J89" s="218"/>
    </row>
    <row r="90" spans="1:10" ht="18" customHeight="1">
      <c r="A90" s="248" t="s">
        <v>265</v>
      </c>
      <c r="B90" s="249" t="s">
        <v>266</v>
      </c>
      <c r="C90" s="250"/>
      <c r="D90" s="256">
        <v>-73.615168626800013</v>
      </c>
      <c r="E90" s="252"/>
      <c r="F90" s="252"/>
      <c r="G90" s="252"/>
      <c r="H90" s="124"/>
      <c r="I90" s="124"/>
      <c r="J90" s="218"/>
    </row>
    <row r="91" spans="1:10" ht="17" thickBot="1">
      <c r="A91" s="190"/>
      <c r="B91" s="257"/>
      <c r="C91" s="258"/>
      <c r="D91" s="258"/>
      <c r="E91" s="259"/>
      <c r="F91" s="259"/>
      <c r="G91" s="258"/>
      <c r="H91" s="234"/>
      <c r="I91" s="234"/>
      <c r="J91" s="235"/>
    </row>
    <row r="92" spans="1:10">
      <c r="A92" s="210"/>
      <c r="B92" s="210"/>
      <c r="C92" s="210"/>
      <c r="D92" s="210"/>
      <c r="E92" s="210"/>
      <c r="F92" s="210"/>
      <c r="G92" s="210"/>
      <c r="H92" s="210"/>
      <c r="I92" s="210"/>
      <c r="J92" s="260"/>
    </row>
  </sheetData>
  <mergeCells count="22">
    <mergeCell ref="F39:G39"/>
    <mergeCell ref="H39:I39"/>
    <mergeCell ref="A40:E40"/>
    <mergeCell ref="F40:J40"/>
    <mergeCell ref="B37:C37"/>
    <mergeCell ref="D37:E37"/>
    <mergeCell ref="B38:C38"/>
    <mergeCell ref="D38:E38"/>
    <mergeCell ref="B39:C39"/>
    <mergeCell ref="D39:E39"/>
    <mergeCell ref="B34:C34"/>
    <mergeCell ref="D34:E34"/>
    <mergeCell ref="B35:C35"/>
    <mergeCell ref="D35:E35"/>
    <mergeCell ref="B36:C36"/>
    <mergeCell ref="D36:E36"/>
    <mergeCell ref="E15:F15"/>
    <mergeCell ref="E16:F16"/>
    <mergeCell ref="B32:C32"/>
    <mergeCell ref="D32:E32"/>
    <mergeCell ref="B33:C33"/>
    <mergeCell ref="D33:E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2x13C plots - FINAL</vt:lpstr>
      <vt:lpstr>2x13C plots - v2</vt:lpstr>
      <vt:lpstr>2x13C plots - v1</vt:lpstr>
      <vt:lpstr>collated data - FINAL</vt:lpstr>
      <vt:lpstr>collated data - v2</vt:lpstr>
      <vt:lpstr>collated data - v1</vt:lpstr>
      <vt:lpstr>dD values from WY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Zeichner, Sarah</cp:lastModifiedBy>
  <dcterms:created xsi:type="dcterms:W3CDTF">2022-04-17T16:41:45Z</dcterms:created>
  <dcterms:modified xsi:type="dcterms:W3CDTF">2023-10-21T16:19:24Z</dcterms:modified>
</cp:coreProperties>
</file>