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wnloads\"/>
    </mc:Choice>
  </mc:AlternateContent>
  <xr:revisionPtr revIDLastSave="0" documentId="13_ncr:1_{7E718C02-779E-48FA-BFBE-D887AE480614}" xr6:coauthVersionLast="41" xr6:coauthVersionMax="41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  <sheet name="Sheet3" sheetId="3" r:id="rId2"/>
  </sheet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2" i="1"/>
  <c r="S98" i="1"/>
  <c r="R98" i="1"/>
  <c r="S97" i="1"/>
  <c r="R97" i="1"/>
  <c r="S96" i="1"/>
  <c r="R96" i="1"/>
  <c r="S95" i="1"/>
  <c r="R95" i="1"/>
  <c r="S94" i="1"/>
  <c r="R94" i="1"/>
  <c r="S93" i="1"/>
  <c r="R93" i="1"/>
  <c r="S92" i="1"/>
  <c r="R92" i="1"/>
  <c r="S91" i="1"/>
  <c r="R91" i="1"/>
  <c r="S90" i="1"/>
  <c r="R90" i="1"/>
  <c r="S89" i="1"/>
  <c r="R89" i="1"/>
  <c r="S88" i="1"/>
  <c r="R88" i="1"/>
  <c r="S87" i="1"/>
  <c r="R87" i="1"/>
  <c r="S86" i="1"/>
  <c r="R86" i="1"/>
  <c r="S85" i="1"/>
  <c r="R85" i="1"/>
  <c r="S84" i="1"/>
  <c r="R84" i="1"/>
  <c r="S83" i="1"/>
  <c r="R83" i="1"/>
  <c r="S82" i="1"/>
  <c r="R82" i="1"/>
  <c r="S81" i="1"/>
  <c r="R81" i="1"/>
  <c r="S80" i="1"/>
  <c r="R80" i="1"/>
  <c r="S79" i="1"/>
  <c r="R79" i="1"/>
  <c r="S78" i="1"/>
  <c r="R78" i="1"/>
  <c r="S77" i="1"/>
  <c r="R77" i="1"/>
  <c r="S76" i="1"/>
  <c r="R76" i="1"/>
  <c r="S75" i="1"/>
  <c r="R75" i="1"/>
  <c r="S74" i="1"/>
  <c r="R74" i="1"/>
  <c r="S73" i="1"/>
  <c r="R73" i="1"/>
  <c r="S72" i="1"/>
  <c r="R72" i="1"/>
  <c r="S71" i="1"/>
  <c r="R71" i="1"/>
  <c r="S70" i="1"/>
  <c r="R70" i="1"/>
  <c r="S69" i="1"/>
  <c r="R69" i="1"/>
  <c r="S68" i="1"/>
  <c r="R68" i="1"/>
  <c r="S67" i="1"/>
  <c r="R67" i="1"/>
  <c r="S66" i="1"/>
  <c r="R66" i="1"/>
  <c r="S65" i="1"/>
  <c r="R65" i="1"/>
  <c r="S64" i="1"/>
  <c r="R64" i="1"/>
  <c r="S63" i="1"/>
  <c r="R63" i="1"/>
  <c r="S62" i="1"/>
  <c r="R62" i="1"/>
  <c r="S61" i="1"/>
  <c r="R61" i="1"/>
  <c r="S60" i="1"/>
  <c r="R60" i="1"/>
  <c r="S59" i="1"/>
  <c r="R59" i="1"/>
  <c r="S58" i="1"/>
  <c r="R58" i="1"/>
  <c r="S57" i="1"/>
  <c r="R57" i="1"/>
  <c r="S56" i="1"/>
  <c r="R56" i="1"/>
  <c r="S55" i="1"/>
  <c r="R55" i="1"/>
  <c r="S54" i="1"/>
  <c r="R54" i="1"/>
  <c r="S53" i="1"/>
  <c r="R53" i="1"/>
  <c r="S52" i="1"/>
  <c r="R52" i="1"/>
  <c r="S51" i="1"/>
  <c r="R51" i="1"/>
  <c r="S50" i="1"/>
  <c r="R50" i="1"/>
  <c r="S49" i="1"/>
  <c r="R49" i="1"/>
  <c r="S48" i="1"/>
  <c r="R48" i="1"/>
  <c r="S47" i="1"/>
  <c r="R47" i="1"/>
  <c r="S46" i="1"/>
  <c r="R46" i="1"/>
  <c r="S45" i="1"/>
  <c r="R45" i="1"/>
  <c r="S44" i="1"/>
  <c r="R44" i="1"/>
  <c r="S43" i="1"/>
  <c r="R43" i="1"/>
  <c r="S42" i="1"/>
  <c r="R42" i="1"/>
  <c r="S41" i="1"/>
  <c r="R41" i="1"/>
  <c r="S40" i="1"/>
  <c r="R40" i="1"/>
  <c r="S39" i="1"/>
  <c r="R39" i="1"/>
  <c r="S38" i="1"/>
  <c r="R38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O25" i="1"/>
  <c r="S24" i="1"/>
  <c r="R24" i="1"/>
  <c r="S23" i="1"/>
  <c r="R23" i="1"/>
  <c r="O23" i="1"/>
  <c r="S22" i="1"/>
  <c r="R22" i="1"/>
  <c r="O22" i="1"/>
  <c r="S21" i="1"/>
  <c r="R21" i="1"/>
  <c r="O21" i="1"/>
  <c r="S20" i="1"/>
  <c r="R20" i="1"/>
  <c r="O20" i="1"/>
  <c r="S19" i="1"/>
  <c r="R19" i="1"/>
  <c r="O19" i="1"/>
  <c r="S18" i="1"/>
  <c r="R18" i="1"/>
  <c r="O18" i="1"/>
  <c r="S17" i="1"/>
  <c r="R17" i="1"/>
  <c r="S16" i="1"/>
  <c r="R16" i="1"/>
  <c r="S15" i="1"/>
  <c r="R15" i="1"/>
  <c r="O15" i="1"/>
  <c r="S14" i="1"/>
  <c r="R14" i="1"/>
  <c r="S13" i="1"/>
  <c r="R13" i="1"/>
  <c r="O13" i="1"/>
  <c r="S12" i="1"/>
  <c r="R12" i="1"/>
  <c r="S11" i="1"/>
  <c r="R11" i="1"/>
  <c r="O11" i="1"/>
  <c r="S10" i="1"/>
  <c r="R10" i="1"/>
  <c r="O10" i="1"/>
  <c r="S9" i="1"/>
  <c r="R9" i="1"/>
  <c r="O9" i="1"/>
  <c r="S8" i="1"/>
  <c r="R8" i="1"/>
  <c r="S7" i="1"/>
  <c r="R7" i="1"/>
  <c r="S6" i="1"/>
  <c r="R6" i="1"/>
  <c r="O6" i="1"/>
  <c r="S5" i="1"/>
  <c r="R5" i="1"/>
  <c r="O5" i="1"/>
  <c r="S4" i="1"/>
  <c r="R4" i="1"/>
  <c r="O4" i="1"/>
  <c r="S3" i="1"/>
  <c r="R3" i="1"/>
  <c r="O3" i="1"/>
  <c r="S2" i="1"/>
  <c r="R2" i="1"/>
</calcChain>
</file>

<file path=xl/sharedStrings.xml><?xml version="1.0" encoding="utf-8"?>
<sst xmlns="http://schemas.openxmlformats.org/spreadsheetml/2006/main" count="828" uniqueCount="363">
  <si>
    <t>Submission Date</t>
  </si>
  <si>
    <t>Milyen eseményről van szó?</t>
  </si>
  <si>
    <t>Mikor történt az eset?</t>
  </si>
  <si>
    <t>Óra?</t>
  </si>
  <si>
    <t>Melyik település környékén?</t>
  </si>
  <si>
    <t>Pontosabban hol?</t>
  </si>
  <si>
    <t>Egyedül volt?</t>
  </si>
  <si>
    <t>Közel volt?</t>
  </si>
  <si>
    <t>Ismert mackó? Van neve vagy ismertető jele?</t>
  </si>
  <si>
    <t>Fotód van róla?</t>
  </si>
  <si>
    <t>Még valami?</t>
  </si>
  <si>
    <t>IP</t>
  </si>
  <si>
    <t>Submission ID</t>
  </si>
  <si>
    <t>Edit Link</t>
  </si>
  <si>
    <t>Display</t>
  </si>
  <si>
    <t>Medvét láttam a környéken</t>
  </si>
  <si>
    <t>25/03/2019</t>
  </si>
  <si>
    <t>Hargita
Balánbánya</t>
  </si>
  <si>
    <t>46.30000, 25.70000</t>
  </si>
  <si>
    <t>Felnőtt/anyamedve
Medvebocs</t>
  </si>
  <si>
    <t>Egy sötét foltot láttam a ködös messzi távolban, de lehet hogy nem is medve volt. (Több, mint 100 m)</t>
  </si>
  <si>
    <t>Brumi</t>
  </si>
  <si>
    <t>Ennyi</t>
  </si>
  <si>
    <t>90.240.84.187</t>
  </si>
  <si>
    <t>46.32561, 25.59151</t>
  </si>
  <si>
    <t>ds</t>
  </si>
  <si>
    <t>Medvepolitikai döntés vagy esemény</t>
  </si>
  <si>
    <t>Hargita
Borszék</t>
  </si>
  <si>
    <t>Hargita
Zetelaka</t>
  </si>
  <si>
    <t>Felnőtt medve</t>
  </si>
  <si>
    <t>Tisztán láttam, hogy rám kacsintott. (10 - 100 m)</t>
  </si>
  <si>
    <t>Maci Laci</t>
  </si>
  <si>
    <t>Nem vicces, me letörte a szilvafát s nem lesz pálinka!</t>
  </si>
  <si>
    <t>31.14.43.181</t>
  </si>
  <si>
    <t>Hargita
Gyergyócsomafalva</t>
  </si>
  <si>
    <t>46.19491, 25.57170</t>
  </si>
  <si>
    <t>Felnőtt/anyamedve
Felnőtt medve</t>
  </si>
  <si>
    <t>Nem játék (Testközelben)</t>
  </si>
  <si>
    <t>Teszt</t>
  </si>
  <si>
    <t>Hargita
Bélbor</t>
  </si>
  <si>
    <t>26/07/2017</t>
  </si>
  <si>
    <t>Hargita
Tusnádfürdő</t>
  </si>
  <si>
    <t>46.15055, 25.86011</t>
  </si>
  <si>
    <t>Éreztem a lihegését a hátamon futás közben. (Kevesebb, mint 10 m)</t>
  </si>
  <si>
    <t>84.206.48.248</t>
  </si>
  <si>
    <t>Kovászna
Barót</t>
  </si>
  <si>
    <t>Felnőtt/anyamedve
Felnőtt medve
Medvebocs</t>
  </si>
  <si>
    <t>85.186.99.121</t>
  </si>
  <si>
    <t>26/03/2019</t>
  </si>
  <si>
    <t>Hargita
Csíkszentgyörgy</t>
  </si>
  <si>
    <t>46.32656, 25.92110</t>
  </si>
  <si>
    <t>Freddy</t>
  </si>
  <si>
    <t>hyj</t>
  </si>
  <si>
    <t>148.88.201.172</t>
  </si>
  <si>
    <t>Emberi áldozat</t>
  </si>
  <si>
    <t>Hargita
Gyergyóújfalu</t>
  </si>
  <si>
    <t>46.20000, 25.60000</t>
  </si>
  <si>
    <t>Felnőtt/anyamedve
Felnőtt medve
Medvebocs
Medvebocs</t>
  </si>
  <si>
    <t>Foltos</t>
  </si>
  <si>
    <t>Ennyi csak.</t>
  </si>
  <si>
    <t>29/03/2019</t>
  </si>
  <si>
    <t>Hargita
Bögöz</t>
  </si>
  <si>
    <t>like a baaws</t>
  </si>
  <si>
    <t>i am writing a text just so denes can prove that his map works. we all work to feed the ego of the great Denes Csala. All hail the genius</t>
  </si>
  <si>
    <t>Hargita
Parajd</t>
  </si>
  <si>
    <t>Medvebocs</t>
  </si>
  <si>
    <t>Egy sötét foltot láttam a ködös, messzi távolban. (Több, mint 100 m)</t>
  </si>
  <si>
    <t>Fghg</t>
  </si>
  <si>
    <t>213.233.84.236</t>
  </si>
  <si>
    <t>23/03/2019</t>
  </si>
  <si>
    <t>46.13404, 25.85977</t>
  </si>
  <si>
    <t>2 éves lehetett</t>
  </si>
  <si>
    <t>109.166.135.187</t>
  </si>
  <si>
    <t>Állatokra támadt</t>
  </si>
  <si>
    <t>17/03/2019</t>
  </si>
  <si>
    <t>Hargita
Fenyéd</t>
  </si>
  <si>
    <t>46.34469, 25.39942</t>
  </si>
  <si>
    <t>Nem tudom</t>
  </si>
  <si>
    <t>uploads/received_312552206075950.jpeg</t>
  </si>
  <si>
    <t>2 darab szarvasmarhát ölt meg a Máréfalvi patakba ,március 17 én, és 1 drb. szarvasmarhát március 21 én</t>
  </si>
  <si>
    <t>85.186.61.236</t>
  </si>
  <si>
    <t>46.61673, 25.55857</t>
  </si>
  <si>
    <t>Felnőtt/anyamedve
Medvebocs
Medvebocs</t>
  </si>
  <si>
    <t>84.236.16.108</t>
  </si>
  <si>
    <t>19/07/2018</t>
  </si>
  <si>
    <t>Maros
Nyárádremete</t>
  </si>
  <si>
    <t>46.63633, 24.88762</t>
  </si>
  <si>
    <t>31.14.43.245</t>
  </si>
  <si>
    <t>30/03/2019</t>
  </si>
  <si>
    <t>84.232.142.187</t>
  </si>
  <si>
    <t>46.14026, 25.85528</t>
  </si>
  <si>
    <t>Felnőtt/anyamedve</t>
  </si>
  <si>
    <t>109.98.76.194</t>
  </si>
  <si>
    <t>Hargita
Szépviz</t>
  </si>
  <si>
    <t>93.122.251.153</t>
  </si>
  <si>
    <t>29/12/2018</t>
  </si>
  <si>
    <t>Hargita
Székelyudvarhely</t>
  </si>
  <si>
    <t>Nincs</t>
  </si>
  <si>
    <t>Az állat lábnyomait másnap reggel néztük meg közelebről, mert nem hittük, hogy medve lett volna az a sötét árnyék szerűség, de rájöttünk hogy az volt.</t>
  </si>
  <si>
    <t>93.122.249.65</t>
  </si>
  <si>
    <t>Hargita
Csíkszentmárton</t>
  </si>
  <si>
    <t>46.16405, 25.98417</t>
  </si>
  <si>
    <t>188.173.129.119</t>
  </si>
  <si>
    <t>13/08/2018</t>
  </si>
  <si>
    <t>Hargita
Etéd</t>
  </si>
  <si>
    <t>46.43432, 25.06784</t>
  </si>
  <si>
    <t>-</t>
  </si>
  <si>
    <t>uploads/39891772_2192257364342364_753065607036928000_o.jpg</t>
  </si>
  <si>
    <t>176.63.16.216</t>
  </si>
  <si>
    <t>Hargita
Csíkszentkirály</t>
  </si>
  <si>
    <t>46.28719, 25.87303</t>
  </si>
  <si>
    <t>Megdézsmálta a méhkaptárakat.Tettünk villanypásztort, az megvédi a méheket, de igy is már negyedik napja, hogy visszajár.</t>
  </si>
  <si>
    <t>95.76.3.186</t>
  </si>
  <si>
    <t>27/03/2019</t>
  </si>
  <si>
    <t>Hargita
Homoródalmás</t>
  </si>
  <si>
    <t>46.34687, 25.46976</t>
  </si>
  <si>
    <t>http://i3.ytimg.com/vi/8-UQJg4qA84/hqdefault.jpg</t>
  </si>
  <si>
    <t>https://uh.ro/igy-setal-a-medve-homorodfurdon-video/</t>
  </si>
  <si>
    <t>109.166.137.36</t>
  </si>
  <si>
    <t>31/03/2019</t>
  </si>
  <si>
    <t>46.47983, 25.42542</t>
  </si>
  <si>
    <t>78.97.112.151</t>
  </si>
  <si>
    <t>Emberre támadt</t>
  </si>
  <si>
    <t>https://ucarecdn.com/53795a4c-4a1c-474d-91de-5ddde1f7e440/</t>
  </si>
  <si>
    <t>31/07/2018</t>
  </si>
  <si>
    <t>46.44602, 25.88115</t>
  </si>
  <si>
    <t>Fotó nincs csak videó.</t>
  </si>
  <si>
    <t>109.166.130.209</t>
  </si>
  <si>
    <t>28/03/2019</t>
  </si>
  <si>
    <t>Hargita
Csíkkozmás</t>
  </si>
  <si>
    <t>46.22570, 25.96216</t>
  </si>
  <si>
    <t>Medvebocs
Medvebocs
Medvebocs</t>
  </si>
  <si>
    <t>77.81.20.4</t>
  </si>
  <si>
    <t>Kovászna
Torja</t>
  </si>
  <si>
    <t>46.11295, 25.96146</t>
  </si>
  <si>
    <t>109.166.139.4</t>
  </si>
  <si>
    <t>18/03/2019</t>
  </si>
  <si>
    <t>Kovászna
Kézdiszentkereszt</t>
  </si>
  <si>
    <t>46.08047, 26.17490</t>
  </si>
  <si>
    <t>92.86.105.46</t>
  </si>
  <si>
    <t>Maros
Székelykövesd</t>
  </si>
  <si>
    <t>213.233.84.1</t>
  </si>
  <si>
    <t>18/12/2018</t>
  </si>
  <si>
    <t>Hargita
Szentegyháza</t>
  </si>
  <si>
    <t>46.30000, 25.7000</t>
  </si>
  <si>
    <t>Stentegyhàza + 4 km iràny csikszereda (gyepüpataka )hetente legalàbb 1 szer làtni, kb 6 éves</t>
  </si>
  <si>
    <t>86.125.188.255</t>
  </si>
  <si>
    <t>28/08/2018</t>
  </si>
  <si>
    <t>Kovászna
Feltorja</t>
  </si>
  <si>
    <t>46.11874, 25.94400</t>
  </si>
  <si>
    <t>Felnőtt/anyamedve
Medvebocs
Medvebocs
Medvebocs</t>
  </si>
  <si>
    <t>Tamadott, majd kb 20 meterre tolem megallt, visszafordult es elszaladt a bocsok utan</t>
  </si>
  <si>
    <t>194.126.146.46</t>
  </si>
  <si>
    <t>46.11482, 25.95088</t>
  </si>
  <si>
    <t>19/06/2017</t>
  </si>
  <si>
    <t>Hargita
Hargitafürdő</t>
  </si>
  <si>
    <t>46.43007, 25.58396</t>
  </si>
  <si>
    <t>Autóval gurultunk lefelé a Madarasi-Hargitáról Szentegyháza felé. A kanyarból kijövet vettük észre, az út bal oldalán. Megálltunk, de észrevett, egy pillanatra két lábra állt, majd eltűnt a bokrok között.</t>
  </si>
  <si>
    <t>178.164.206.72</t>
  </si>
  <si>
    <t>Kovászna
Bardoc</t>
  </si>
  <si>
    <t>109.98.167.162</t>
  </si>
  <si>
    <t>Hargita
Abásfalva</t>
  </si>
  <si>
    <t>46.29051, 25.73571</t>
  </si>
  <si>
    <t>https://ucarecdn.com/50105662-1ac2-4c14-9be1-5154b92231f8/</t>
  </si>
  <si>
    <t>fd</t>
  </si>
  <si>
    <t>Hargita
Lövéte</t>
  </si>
  <si>
    <t>46.27373, 25.53276</t>
  </si>
  <si>
    <t>89.132.167.51</t>
  </si>
  <si>
    <t>Maros
Bözöd</t>
  </si>
  <si>
    <t>46.41339, 24.88051</t>
  </si>
  <si>
    <t>5.2.203.153</t>
  </si>
  <si>
    <t>20/10/2018</t>
  </si>
  <si>
    <t>Kovászna
Kiskászon</t>
  </si>
  <si>
    <t>46.07345, 26.14284</t>
  </si>
  <si>
    <t>Lejárt többször is hajnalban a falu szélére majd napfelkelte előtt visszament az erdőbe, nem támadott állatra.</t>
  </si>
  <si>
    <t>5.2.192.218</t>
  </si>
  <si>
    <t>20/03/2019</t>
  </si>
  <si>
    <t>Kovászna
Sepsiszentgyörgy</t>
  </si>
  <si>
    <t>https://www.3szek.ro/load/cikk/121568/medve-koszalt-a-sepsiszentgyorgyi-strand-kornyeken</t>
  </si>
  <si>
    <t>Katasztrófavédelmi riasztás alapján. A városban volt a medve. https://www.3szek.ro/load/cikk/121568/medve-koszalt-a-sepsiszentgyorgyi-strand-kornyeken</t>
  </si>
  <si>
    <t>89.46.235.168</t>
  </si>
  <si>
    <t>Kovászna
Bölön</t>
  </si>
  <si>
    <t>45.89322, 25.61597</t>
  </si>
  <si>
    <t>Macko</t>
  </si>
  <si>
    <t>https://ucarecdn.com/f31258b6-441a-48cb-a0ed-e603cd3b5ae5/</t>
  </si>
  <si>
    <t>178.138.33.81</t>
  </si>
  <si>
    <t>45.91396, 25.60667</t>
  </si>
  <si>
    <t>46.116383, 25.945563</t>
  </si>
  <si>
    <t>Felnőtt/anyamedve
Medvebocs
Medvebocs
Medvebocs</t>
  </si>
  <si>
    <t>A Balvanyos Resort-nal lattam a 3 bocsos anyamedvet.
A kovaszna megyei telepulesek kozott nem szerepel Balvanyos/Balvanyosfurdo, erdemes lenne aktualizalni...</t>
  </si>
  <si>
    <t>89.121.209.162</t>
  </si>
  <si>
    <t>Maros
Abafája</t>
  </si>
  <si>
    <t>46.66802, 24.57946</t>
  </si>
  <si>
    <t>https://ucarecdn.com/f0227f80-9bb8-4796-907a-26ff7edcc898/</t>
  </si>
  <si>
    <t>KB tíz éve jelentek így bátran, két hete egy anya medvét két bocsal 1km a kijelolt hejrol</t>
  </si>
  <si>
    <t>109.96.72.47</t>
  </si>
  <si>
    <t>Maros
Székelykál</t>
  </si>
  <si>
    <t>https://media.szekelyhon.ro/pictures/udvarhely/aktualis/2017/10_marcius/b_medvetamadas_eted-pa-6.jpg</t>
  </si>
  <si>
    <t>https://szekelyhon.ro/aktualis/korhazban-van-a-szekelykali-medvetamadas-aldozata</t>
  </si>
  <si>
    <t>82.77.131.159</t>
  </si>
  <si>
    <t>46.15264, 25.85974</t>
  </si>
  <si>
    <t>Átvonult az udvarunkon, a már régebben medve által lerombolt kerítésünk helyén. A nyáron az almafánkat rázta és ette az almát. Kénytelenek leszünk villanypásztort telepíteni...</t>
  </si>
  <si>
    <t>84.236.64.201</t>
  </si>
  <si>
    <t>22/03/2019</t>
  </si>
  <si>
    <t>95.76.16.112</t>
  </si>
  <si>
    <t>14/04/2019</t>
  </si>
  <si>
    <t>46.111273, 25.956920</t>
  </si>
  <si>
    <t>Bálványoson volt.</t>
  </si>
  <si>
    <t>93.122.250.160</t>
  </si>
  <si>
    <t>Hargita
Agyagfalva</t>
  </si>
  <si>
    <t>Hargita
Zeteváralja</t>
  </si>
  <si>
    <t>46.46315, 25.39770</t>
  </si>
  <si>
    <t>95.77.108.111</t>
  </si>
  <si>
    <t>20/04/2019</t>
  </si>
  <si>
    <t>46.42646, 25.90290</t>
  </si>
  <si>
    <t>nem</t>
  </si>
  <si>
    <t>https://ucarecdn.com/c8d76997-a1c2-4279-b9c8-b238ee9a00f2/</t>
  </si>
  <si>
    <t>Nem lakott területen sétált, a kertek hétvégi telkeket, kaszálókat jeleznak.</t>
  </si>
  <si>
    <t>109.102.200.202</t>
  </si>
  <si>
    <t>Hargita
Kozmás</t>
  </si>
  <si>
    <t>46.19910, 25.97569</t>
  </si>
  <si>
    <t>öjves</t>
  </si>
  <si>
    <t>Az erdőben ...</t>
  </si>
  <si>
    <t>109.102.105.174</t>
  </si>
  <si>
    <t>19/04/2019</t>
  </si>
  <si>
    <t>https://ucarecdn.com/169c5d3d-e901-466a-8f45-519de345e200/</t>
  </si>
  <si>
    <t>93.122.250.212</t>
  </si>
  <si>
    <t>Hargita
Szentábrahám</t>
  </si>
  <si>
    <t>46.33540, 25.00554</t>
  </si>
  <si>
    <t>https://uh.ro/esztenara-tamadt-egy-medve/</t>
  </si>
  <si>
    <t>95.76.17.43</t>
  </si>
  <si>
    <t>29/04/2019</t>
  </si>
  <si>
    <t>Kovászna
Lisznyó</t>
  </si>
  <si>
    <t>45.77641, 25.90724</t>
  </si>
  <si>
    <t>Már kb 1 es 1/2 eva jár ba a kertbe. Osszel almára tavasszal lucernára. 
Mindig egyedül sétál. És hatalmas.</t>
  </si>
  <si>
    <t>82.77.222.30</t>
  </si>
  <si>
    <t>Hargita
Tibód</t>
  </si>
  <si>
    <t>46.34144, 25.30564</t>
  </si>
  <si>
    <t>Sötétfekete  színű anyamedve volt</t>
  </si>
  <si>
    <t>Az úton futottak át elöttem a  Ballé patak felöl a Tibód fele a bozótosba. Ugyanitt még észletem kétszer medvét egyet tavaly ősz vége fele s egyet idén március közepén. Az világosbarnás 2 éves forma medve lehetett a két régebbi észleléskor ugyanazt a medvét láttam, szintén ugyancsak Tibód  fele tartott.</t>
  </si>
  <si>
    <t>92.84.45.36</t>
  </si>
  <si>
    <t>18/04/2019</t>
  </si>
  <si>
    <t>Kovászna
Báványosfürdő</t>
  </si>
  <si>
    <t>46.118933, 25.950877</t>
  </si>
  <si>
    <t>Ibolya forrásnál laknak</t>
  </si>
  <si>
    <t>https://ucarecdn.com/964bd09e-5063-48b2-87a6-3adb983ddcd0/</t>
  </si>
  <si>
    <t>Az Ibolya borvízforrás környékén laknak, rendszeresen lejárnak a nyaralók közé, ismerik őket, eddig nem bántott senkit az anya</t>
  </si>
  <si>
    <t>84.0.243.29</t>
  </si>
  <si>
    <t>46.498231, 25.415162</t>
  </si>
  <si>
    <t>nincs</t>
  </si>
  <si>
    <t>81.196.37.196</t>
  </si>
  <si>
    <t>27/05/2019</t>
  </si>
  <si>
    <t>Kovászna
Egerpatak</t>
  </si>
  <si>
    <t>93.122.248.148</t>
  </si>
  <si>
    <t>Hargita
Csíkszentdomokos</t>
  </si>
  <si>
    <t>46.60664, 25.82095</t>
  </si>
  <si>
    <t>Nem</t>
  </si>
  <si>
    <t>31.46.46.233</t>
  </si>
  <si>
    <t>19/05/2019</t>
  </si>
  <si>
    <t>46.60490, 25.81818</t>
  </si>
  <si>
    <t>Hargita
Szentkeresztbánya</t>
  </si>
  <si>
    <t>46.34126, 25.54207</t>
  </si>
  <si>
    <t>https://media.szekelyhon.ro/pictures/agerpres/kiemelesek/08_kiemelesek/b_medve-szentegyhaza.jpg</t>
  </si>
  <si>
    <t>https://szekelyhon.ro/aktualis/medve-szentegyhaza-hataraban</t>
  </si>
  <si>
    <t>Maros
Beresztelke</t>
  </si>
  <si>
    <t>http://itthon.transindex.ro/images/__leo/cikkek/73012_medve.jpg</t>
  </si>
  <si>
    <t>http://itthon.transindex.ro/?hir=55934&amp;Medve_koszalt_orak_kozben_egy_Maros_megyei_iskola_udvaran</t>
  </si>
  <si>
    <t>23/06/2019</t>
  </si>
  <si>
    <t>Hargita
Ülke</t>
  </si>
  <si>
    <t>Ülkei eltérőnél</t>
  </si>
  <si>
    <t>25/06/2019</t>
  </si>
  <si>
    <t>Hargita
Csíkszentimre</t>
  </si>
  <si>
    <t>http://i3.ytimg.com/vi/mtBpWQi3tc8/hqdefault.jpg</t>
  </si>
  <si>
    <t>https://szekelyhon.ro/aktualis/medvecsalad-bukkant-fel-csikszentimre-hataraban</t>
  </si>
  <si>
    <t>Más megye
Más település</t>
  </si>
  <si>
    <t>45.65558, 24.60183</t>
  </si>
  <si>
    <t>Medvebocs
Medvebocs</t>
  </si>
  <si>
    <t>http://think.transindex.ro/?hir=830&amp;Nagyon_batran_etetik_a_medvebocsokat_a_turistak_a_Transzfogarasi_uton</t>
  </si>
  <si>
    <t>Kovászna
Bikfalva</t>
  </si>
  <si>
    <t>Még több medve</t>
  </si>
  <si>
    <t>Nagy Lajos,  piros csokornyakkendo es meg mas medvek a tobbit nem ismertem</t>
  </si>
  <si>
    <t>https://ucarecdn.com/b0f2be2c-cfa0-4ae8-8f8d-b39f253706e5/</t>
  </si>
  <si>
    <t>Egy kolat is kerek hozza! Koszonom!</t>
  </si>
  <si>
    <t>86.122.88.10</t>
  </si>
  <si>
    <t>Hargita
Kobátfalva</t>
  </si>
  <si>
    <t>46.35863, 25.13835</t>
  </si>
  <si>
    <t>78.97.115.36</t>
  </si>
  <si>
    <t>22/07/2019</t>
  </si>
  <si>
    <t>Hargita
Siklód</t>
  </si>
  <si>
    <t>http://i3.ytimg.com/vi/swiOkGihnC4/hqdefault.jpg</t>
  </si>
  <si>
    <t>https://www.youtube.com/watch?time_continue=3&amp;v=swiOkGihnC4</t>
  </si>
  <si>
    <t>95.76.16.230</t>
  </si>
  <si>
    <t>29/07/2019</t>
  </si>
  <si>
    <t>46.67612, 25.51515</t>
  </si>
  <si>
    <t>148.88.201.194</t>
  </si>
  <si>
    <t>20/09/2019</t>
  </si>
  <si>
    <t>Kovászna
Uzon</t>
  </si>
  <si>
    <t>45.80478, 25.83431</t>
  </si>
  <si>
    <t>https://ucarecdn.com/1fb45f6a-9e62-4574-a490-1bf85c854ec7/</t>
  </si>
  <si>
    <t>82.79.170.75</t>
  </si>
  <si>
    <t>28/09/2019</t>
  </si>
  <si>
    <t>Hargita
Úzvölgy</t>
  </si>
  <si>
    <t>193.226.0.199</t>
  </si>
  <si>
    <t>13/09/2019</t>
  </si>
  <si>
    <t>Hargita
Tordátfalva</t>
  </si>
  <si>
    <t>Medvére utaló nyomot láttam</t>
  </si>
  <si>
    <t>30/09/2019</t>
  </si>
  <si>
    <t>188.173.229.99</t>
  </si>
  <si>
    <t>Maros
Vámosudvarhely</t>
  </si>
  <si>
    <t>http://itthon.transindex.ro/?hir=57171&amp;horgaszas_kozben_olt_meg_egy_ferfit_a_medve_maros_megyeben</t>
  </si>
  <si>
    <t>95.76.16.178</t>
  </si>
  <si>
    <t>14/10/2019</t>
  </si>
  <si>
    <t>46.290806, 25.290755</t>
  </si>
  <si>
    <t>https://uh.ro/a-varosban-jart-a-medve/</t>
  </si>
  <si>
    <t>Brassó
Felsőkomána</t>
  </si>
  <si>
    <t>http://itthon.transindex.ro/?hir=57183&amp;az_esztenan_tamadt_a_medve_egy_ferfira_brasso_megyeben</t>
  </si>
  <si>
    <t>15/10/2019</t>
  </si>
  <si>
    <t>http://itthon.transindex.ro/?hir=57184&amp;ismet_medveket_kergettek_a_szekelyfoldi_csendorok_az_ejszaka</t>
  </si>
  <si>
    <t>17/10/2019</t>
  </si>
  <si>
    <t>Kovászna
Sugásfürdő</t>
  </si>
  <si>
    <t>45.89719, 25.70944</t>
  </si>
  <si>
    <t>https://ucarecdn.com/bbbea835-9496-49c0-9aca-e4850010b348/</t>
  </si>
  <si>
    <t>https://www.facebook.com/antalarpadandras/videos/1608933712580001/</t>
  </si>
  <si>
    <t>26/10/2019</t>
  </si>
  <si>
    <t>Maros
Nyárádkarácson</t>
  </si>
  <si>
    <t>kitörte a kerítés betonoszlopát, a dróthálót a földig nyomta,s ott távozott.</t>
  </si>
  <si>
    <t>82.79.185.59</t>
  </si>
  <si>
    <t>Hargita
Ivómezeje</t>
  </si>
  <si>
    <t>46.46781, 25.44371</t>
  </si>
  <si>
    <t>176.63.23.150</t>
  </si>
  <si>
    <t>29/10/2019</t>
  </si>
  <si>
    <t>Hargita
Telekfalva</t>
  </si>
  <si>
    <t>130.43.221.172</t>
  </si>
  <si>
    <t>16/10/2019</t>
  </si>
  <si>
    <t>46.27717, 25.49043</t>
  </si>
  <si>
    <t>46.27554, 25.53310</t>
  </si>
  <si>
    <t>https://ucarecdn.com/b275ff26-0f2d-4816-bd57-db616e01f7fd/</t>
  </si>
  <si>
    <t>debug</t>
  </si>
  <si>
    <t>90.255.213.1</t>
  </si>
  <si>
    <t>Egyedül bóklászott, majd amint meglátott minket kb 10 méterre tőlünk két lábra állt, morgott és megindult felénk.</t>
  </si>
  <si>
    <t>176.63.25.88</t>
  </si>
  <si>
    <t>14/11/2019</t>
  </si>
  <si>
    <t>Maros
Erdőszentgyörgy</t>
  </si>
  <si>
    <t>46.42872, 24.84529</t>
  </si>
  <si>
    <t>https://scontent.fiev1-1.fna.fbcdn.net/v/t1.0-9/76604982_3273371339356686_7766264455670792192_n.jpg?_nc_cat=107&amp;_nc_oc=AQnI9YW1UWLnn0x2kOR_LkWWDaFENUgyLaiRA3nURvFtECUulMcRYd01xNN3AYXRQSA&amp;_nc_ht=scontent.fiev1-1.fna&amp;oh=cee57f07759742c804660c2084f19583&amp;oe=5E4F4CEA</t>
  </si>
  <si>
    <t>https://www.facebook.com/2689393464421146/posts/3273371496023337/?sfnsn=mo</t>
  </si>
  <si>
    <t>213.205.192.123</t>
  </si>
  <si>
    <t>Hargita
Szárhegy</t>
  </si>
  <si>
    <t>46.75174, 25.53511</t>
  </si>
  <si>
    <t>178.48.69.249</t>
  </si>
  <si>
    <t>Count of Milyen eseményről van szó?</t>
  </si>
  <si>
    <t>március</t>
  </si>
  <si>
    <t>december</t>
  </si>
  <si>
    <t>július</t>
  </si>
  <si>
    <t>augusztus</t>
  </si>
  <si>
    <t>február</t>
  </si>
  <si>
    <t>január</t>
  </si>
  <si>
    <t>június</t>
  </si>
  <si>
    <t>szeptember</t>
  </si>
  <si>
    <t>május</t>
  </si>
  <si>
    <t>október</t>
  </si>
  <si>
    <t>április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</si>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</sst>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:mm:ss"/>
    <numFmt numFmtId="165" formatCode="m/d/yyyy"/>
    <numFmt numFmtId="166" formatCode="mm/dd/yyyy"/>
    <numFmt numFmtId="170" formatCode="[$-40E]mmmm;@"/>
  </numFmts>
  <fonts count="8">
    <font>
      <sz val="10"/>
      <color rgb="FF000000"/>
      <name val="Arial"/>
    </font>
    <font>
      <b/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16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0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/>
    <xf numFmtId="165" fontId="3" fillId="3" borderId="0" xfId="0" applyNumberFormat="1" applyFont="1" applyFill="1" applyAlignment="1">
      <alignment horizontal="center" vertical="center"/>
    </xf>
    <xf numFmtId="166" fontId="3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3" fillId="3" borderId="0" xfId="0" applyFont="1" applyFill="1" applyAlignment="1">
      <alignment vertical="center"/>
    </xf>
    <xf numFmtId="0" fontId="7" fillId="0" borderId="0" xfId="0" applyFont="1" applyAlignment="1">
      <alignment horizontal="left"/>
    </xf>
    <xf numFmtId="170" fontId="1" fillId="2" borderId="1" xfId="0" applyNumberFormat="1" applyFont="1" applyFill="1" applyBorder="1" applyAlignment="1">
      <alignment horizontal="center" vertical="center"/>
    </xf>
    <xf numFmtId="170" fontId="3" fillId="3" borderId="0" xfId="0" applyNumberFormat="1" applyFont="1" applyFill="1" applyAlignment="1">
      <alignment horizontal="center" vertical="center"/>
    </xf>
    <xf numFmtId="170" fontId="3" fillId="3" borderId="0" xfId="0" applyNumberFormat="1" applyFont="1" applyFill="1" applyAlignment="1">
      <alignment vertical="center"/>
    </xf>
    <xf numFmtId="17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[SZÉKELYDATA medvejelentő - analysis.xlsx]Sheet3!PivotTable5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en-GB" b="1"/>
              <a:t>Milyen eseményről van szó?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6"/>
                <c:pt idx="0">
                  <c:v>Állatokra támadt</c:v>
                </c:pt>
                <c:pt idx="1">
                  <c:v>Emberi áldozat</c:v>
                </c:pt>
                <c:pt idx="2">
                  <c:v>Emberre támadt</c:v>
                </c:pt>
                <c:pt idx="3">
                  <c:v>Medvepolitikai döntés vagy esemény</c:v>
                </c:pt>
                <c:pt idx="4">
                  <c:v>Medvére utaló nyomot láttam</c:v>
                </c:pt>
                <c:pt idx="5">
                  <c:v>Medvét láttam a környéken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6"/>
                <c:pt idx="0">
                  <c:v>9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3-48DC-8115-7CE639BAF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73308304"/>
        <c:axId val="278077536"/>
      </c:barChart>
      <c:catAx>
        <c:axId val="573308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78077536"/>
        <c:crosses val="autoZero"/>
        <c:auto val="1"/>
        <c:lblAlgn val="ctr"/>
        <c:lblOffset val="100"/>
        <c:noMultiLvlLbl val="0"/>
      </c:catAx>
      <c:valAx>
        <c:axId val="27807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7330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0">
          <a:latin typeface="Bahnschrif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138112</xdr:rowOff>
    </xdr:from>
    <xdr:to>
      <xdr:col>8</xdr:col>
      <xdr:colOff>100012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6D2EF5-5EA7-4E96-9FA9-A386C6322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sala, Dénes" refreshedDate="43846.922641550926" createdVersion="6" refreshedVersion="6" minRefreshableVersion="3" recordCount="97" xr:uid="{26F675B1-5E13-43EB-B56A-81A3772FC33E}">
  <cacheSource type="worksheet">
    <worksheetSource ref="A1:C98" sheet="Sheet1"/>
  </cacheSource>
  <cacheFields count="3">
    <cacheField name="Submission Date" numFmtId="164">
      <sharedItems containsNonDate="0" containsDate="1" containsString="0" containsBlank="1" minDate="2019-03-25T12:33:25" maxDate="2019-11-29T07:57:41"/>
    </cacheField>
    <cacheField name="Milyen eseményről van szó?" numFmtId="0">
      <sharedItems count="6">
        <s v="Medvét láttam a környéken"/>
        <s v="Állatokra támadt"/>
        <s v="Medvepolitikai döntés vagy esemény"/>
        <s v="Emberi áldozat"/>
        <s v="Emberre támadt"/>
        <s v="Medvére utaló nyomot láttam"/>
      </sharedItems>
    </cacheField>
    <cacheField name="Mikor történt az eset?" numFmtId="0">
      <sharedItems containsDate="1" containsMixedTypes="1" minDate="2015-05-01T00:00:00" maxDate="2019-12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d v="2019-03-25T12:33:25"/>
    <x v="0"/>
    <s v="25/03/2019"/>
  </r>
  <r>
    <d v="2019-03-25T12:35:16"/>
    <x v="1"/>
    <s v="25/03/2019"/>
  </r>
  <r>
    <d v="2019-03-25T13:49:26"/>
    <x v="0"/>
    <s v="25/03/2019"/>
  </r>
  <r>
    <d v="2019-03-25T14:00:49"/>
    <x v="2"/>
    <s v="25/03/2019"/>
  </r>
  <r>
    <d v="2019-03-25T14:50:32"/>
    <x v="0"/>
    <d v="2018-12-10T00:00:00"/>
  </r>
  <r>
    <d v="2019-03-25T15:33:42"/>
    <x v="0"/>
    <d v="2019-12-03T00:00:00"/>
  </r>
  <r>
    <d v="2019-03-25T15:34:54"/>
    <x v="2"/>
    <s v="25/03/2019"/>
  </r>
  <r>
    <m/>
    <x v="0"/>
    <s v="26/07/2017"/>
  </r>
  <r>
    <m/>
    <x v="0"/>
    <s v="25/03/2019"/>
  </r>
  <r>
    <d v="2019-03-26T10:37:36"/>
    <x v="0"/>
    <s v="26/03/2019"/>
  </r>
  <r>
    <d v="2019-03-26T20:59:22"/>
    <x v="3"/>
    <d v="2019-12-03T00:00:00"/>
  </r>
  <r>
    <d v="2019-03-28T19:45:02"/>
    <x v="0"/>
    <s v="29/03/2019"/>
  </r>
  <r>
    <m/>
    <x v="3"/>
    <s v="29/03/2019"/>
  </r>
  <r>
    <m/>
    <x v="0"/>
    <s v="23/03/2019"/>
  </r>
  <r>
    <m/>
    <x v="1"/>
    <s v="17/03/2019"/>
  </r>
  <r>
    <m/>
    <x v="0"/>
    <s v="29/03/2019"/>
  </r>
  <r>
    <m/>
    <x v="0"/>
    <s v="19/07/2018"/>
  </r>
  <r>
    <m/>
    <x v="0"/>
    <s v="30/03/2019"/>
  </r>
  <r>
    <m/>
    <x v="0"/>
    <s v="30/03/2019"/>
  </r>
  <r>
    <m/>
    <x v="0"/>
    <s v="26/03/2019"/>
  </r>
  <r>
    <m/>
    <x v="0"/>
    <s v="29/12/2018"/>
  </r>
  <r>
    <d v="2019-03-31T02:52:23"/>
    <x v="0"/>
    <s v="30/03/2019"/>
  </r>
  <r>
    <d v="2019-03-31T03:56:16"/>
    <x v="0"/>
    <s v="13/08/2018"/>
  </r>
  <r>
    <d v="2019-03-31T05:24:38"/>
    <x v="0"/>
    <s v="26/03/2019"/>
  </r>
  <r>
    <m/>
    <x v="0"/>
    <s v="27/03/2019"/>
  </r>
  <r>
    <m/>
    <x v="0"/>
    <s v="31/03/2019"/>
  </r>
  <r>
    <d v="2019-03-31T21:24:05"/>
    <x v="0"/>
    <d v="2019-02-04T00:00:00"/>
  </r>
  <r>
    <d v="2019-03-31T21:31:11"/>
    <x v="4"/>
    <d v="2019-02-04T00:00:00"/>
  </r>
  <r>
    <d v="2019-03-31T21:36:31"/>
    <x v="2"/>
    <d v="2019-03-04T00:00:00"/>
  </r>
  <r>
    <d v="2019-03-31T22:16:13"/>
    <x v="2"/>
    <d v="2019-02-04T00:00:00"/>
  </r>
  <r>
    <d v="2019-03-31T22:17:48"/>
    <x v="1"/>
    <d v="2019-02-04T00:00:00"/>
  </r>
  <r>
    <d v="2019-03-31T22:37:41"/>
    <x v="4"/>
    <d v="2019-02-04T00:00:00"/>
  </r>
  <r>
    <m/>
    <x v="0"/>
    <s v="31/07/2018"/>
  </r>
  <r>
    <m/>
    <x v="0"/>
    <s v="28/03/2019"/>
  </r>
  <r>
    <d v="2019-04-01T08:23:14"/>
    <x v="0"/>
    <d v="2019-01-04T00:00:00"/>
  </r>
  <r>
    <d v="2019-04-02T02:33:42"/>
    <x v="0"/>
    <s v="18/03/2019"/>
  </r>
  <r>
    <d v="2019-04-02T12:07:41"/>
    <x v="0"/>
    <d v="2019-03-02T00:00:00"/>
  </r>
  <r>
    <d v="2019-04-02T13:44:01"/>
    <x v="0"/>
    <s v="18/12/2018"/>
  </r>
  <r>
    <d v="2019-04-03T04:24:47"/>
    <x v="4"/>
    <s v="28/08/2018"/>
  </r>
  <r>
    <d v="2019-04-03T04:26:05"/>
    <x v="0"/>
    <s v="28/08/2018"/>
  </r>
  <r>
    <d v="2019-04-03T07:33:08"/>
    <x v="0"/>
    <s v="19/06/2017"/>
  </r>
  <r>
    <d v="2019-04-03T09:29:15"/>
    <x v="0"/>
    <d v="2019-02-04T00:00:00"/>
  </r>
  <r>
    <d v="2019-04-03T13:02:43"/>
    <x v="2"/>
    <d v="2019-09-04T00:00:00"/>
  </r>
  <r>
    <d v="2019-04-03T13:09:48"/>
    <x v="0"/>
    <d v="2015-05-01T00:00:00"/>
  </r>
  <r>
    <d v="2019-04-03T13:42:44"/>
    <x v="0"/>
    <d v="2016-07-09T00:00:00"/>
  </r>
  <r>
    <d v="2019-04-04T02:24:44"/>
    <x v="0"/>
    <d v="2019-03-04T00:00:00"/>
  </r>
  <r>
    <d v="2019-04-04T03:38:44"/>
    <x v="0"/>
    <s v="20/10/2018"/>
  </r>
  <r>
    <d v="2019-04-04T04:17:34"/>
    <x v="0"/>
    <s v="20/03/2019"/>
  </r>
  <r>
    <d v="2019-04-04T04:41:30"/>
    <x v="0"/>
    <d v="2018-02-04T00:00:00"/>
  </r>
  <r>
    <d v="2019-04-04T04:58:41"/>
    <x v="0"/>
    <s v="23/03/2019"/>
  </r>
  <r>
    <d v="2019-04-05T03:37:04"/>
    <x v="0"/>
    <d v="2019-04-04T00:00:00"/>
  </r>
  <r>
    <d v="2019-04-05T04:27:53"/>
    <x v="0"/>
    <d v="2018-12-08T00:00:00"/>
  </r>
  <r>
    <d v="2019-04-05T07:09:07"/>
    <x v="4"/>
    <d v="2017-11-06T00:00:00"/>
  </r>
  <r>
    <d v="2019-04-07T09:28:42"/>
    <x v="0"/>
    <d v="2019-03-04T00:00:00"/>
  </r>
  <r>
    <d v="2019-04-08T08:30:07"/>
    <x v="0"/>
    <s v="22/03/2019"/>
  </r>
  <r>
    <d v="2019-04-14T10:47:14"/>
    <x v="0"/>
    <s v="14/04/2019"/>
  </r>
  <r>
    <d v="2019-04-17T22:00:44"/>
    <x v="0"/>
    <d v="2019-01-04T00:00:00"/>
  </r>
  <r>
    <d v="2019-04-18T02:36:10"/>
    <x v="0"/>
    <d v="2019-08-04T00:00:00"/>
  </r>
  <r>
    <d v="2019-04-20T11:25:37"/>
    <x v="0"/>
    <s v="20/04/2019"/>
  </r>
  <r>
    <d v="2019-04-20T12:48:42"/>
    <x v="0"/>
    <s v="20/04/2019"/>
  </r>
  <r>
    <d v="2019-04-23T05:25:02"/>
    <x v="1"/>
    <s v="19/04/2019"/>
  </r>
  <r>
    <d v="2019-04-29T13:06:45"/>
    <x v="1"/>
    <d v="2019-06-04T00:00:00"/>
  </r>
  <r>
    <d v="2019-04-29T15:07:32"/>
    <x v="0"/>
    <s v="29/04/2019"/>
  </r>
  <r>
    <d v="2019-05-03T01:21:14"/>
    <x v="0"/>
    <d v="2019-03-05T00:00:00"/>
  </r>
  <r>
    <d v="2019-05-05T11:24:31"/>
    <x v="0"/>
    <s v="18/04/2019"/>
  </r>
  <r>
    <d v="2019-05-06T00:33:43"/>
    <x v="0"/>
    <d v="2019-04-05T00:00:00"/>
  </r>
  <r>
    <d v="2019-05-27T06:33:53"/>
    <x v="1"/>
    <s v="27/05/2019"/>
  </r>
  <r>
    <d v="2019-05-29T14:30:22"/>
    <x v="1"/>
    <s v="27/05/2019"/>
  </r>
  <r>
    <d v="2019-05-29T14:33:22"/>
    <x v="0"/>
    <s v="19/05/2019"/>
  </r>
  <r>
    <d v="2019-06-07T14:36:56"/>
    <x v="0"/>
    <d v="2019-07-06T00:00:00"/>
  </r>
  <r>
    <d v="2019-06-11T13:02:17"/>
    <x v="0"/>
    <d v="2019-11-06T00:00:00"/>
  </r>
  <r>
    <d v="2019-06-23T13:39:50"/>
    <x v="0"/>
    <s v="23/06/2019"/>
  </r>
  <r>
    <d v="2019-06-25T14:02:22"/>
    <x v="0"/>
    <s v="25/06/2019"/>
  </r>
  <r>
    <d v="2019-06-25T14:23:53"/>
    <x v="0"/>
    <s v="25/06/2019"/>
  </r>
  <r>
    <d v="2019-07-03T05:08:38"/>
    <x v="4"/>
    <d v="2019-03-07T00:00:00"/>
  </r>
  <r>
    <d v="2019-07-11T09:37:02"/>
    <x v="0"/>
    <d v="2019-09-07T00:00:00"/>
  </r>
  <r>
    <d v="2019-07-24T16:48:31"/>
    <x v="0"/>
    <s v="22/07/2019"/>
  </r>
  <r>
    <d v="2019-07-31T08:28:20"/>
    <x v="0"/>
    <s v="29/07/2019"/>
  </r>
  <r>
    <d v="2019-09-22T14:03:45"/>
    <x v="0"/>
    <s v="20/09/2019"/>
  </r>
  <r>
    <d v="2019-09-28T09:20:34"/>
    <x v="0"/>
    <s v="28/09/2019"/>
  </r>
  <r>
    <d v="2019-09-28T09:21:29"/>
    <x v="0"/>
    <s v="13/09/2019"/>
  </r>
  <r>
    <d v="2019-09-30T07:45:29"/>
    <x v="5"/>
    <s v="30/09/2019"/>
  </r>
  <r>
    <d v="2019-10-14T15:08:57"/>
    <x v="3"/>
    <d v="2019-12-10T00:00:00"/>
  </r>
  <r>
    <d v="2019-10-14T15:11:16"/>
    <x v="0"/>
    <s v="14/10/2019"/>
  </r>
  <r>
    <d v="2019-10-15T12:30:42"/>
    <x v="4"/>
    <s v="14/10/2019"/>
  </r>
  <r>
    <d v="2019-10-15T12:33:04"/>
    <x v="0"/>
    <s v="15/10/2019"/>
  </r>
  <r>
    <d v="2019-10-17T06:33:56"/>
    <x v="0"/>
    <s v="17/10/2019"/>
  </r>
  <r>
    <d v="2019-10-26T02:46:13"/>
    <x v="1"/>
    <s v="26/10/2019"/>
  </r>
  <r>
    <d v="2019-10-27T17:43:59"/>
    <x v="5"/>
    <d v="2018-08-08T00:00:00"/>
  </r>
  <r>
    <d v="2019-10-31T14:02:12"/>
    <x v="0"/>
    <s v="29/10/2019"/>
  </r>
  <r>
    <d v="2019-11-03T03:04:26"/>
    <x v="1"/>
    <s v="16/10/2019"/>
  </r>
  <r>
    <d v="2019-11-03T03:13:59"/>
    <x v="5"/>
    <d v="2019-03-11T00:00:00"/>
  </r>
  <r>
    <d v="2019-11-03T04:17:37"/>
    <x v="0"/>
    <d v="2019-03-11T00:00:00"/>
  </r>
  <r>
    <d v="2019-11-03T07:33:50"/>
    <x v="5"/>
    <d v="2019-03-11T00:00:00"/>
  </r>
  <r>
    <d v="2019-11-09T17:45:29"/>
    <x v="0"/>
    <d v="2019-08-11T00:00:00"/>
  </r>
  <r>
    <d v="2019-11-14T04:02:15"/>
    <x v="0"/>
    <s v="14/11/2019"/>
  </r>
  <r>
    <d v="2019-11-29T07:57:41"/>
    <x v="5"/>
    <d v="2019-01-1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85420-B614-4248-B9DA-EB6E99CEE1D6}" name="PivotTable5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9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1"/>
        <item x="3"/>
        <item x="4"/>
        <item x="2"/>
        <item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Milyen eseményről van szó?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carecdn.com/964bd09e-5063-48b2-87a6-3adb983ddcd0/" TargetMode="External"/><Relationship Id="rId18" Type="http://schemas.openxmlformats.org/officeDocument/2006/relationships/hyperlink" Target="http://i3.ytimg.com/vi/mtBpWQi3tc8/hqdefault.jpg" TargetMode="External"/><Relationship Id="rId26" Type="http://schemas.openxmlformats.org/officeDocument/2006/relationships/hyperlink" Target="https://uh.ro/a-varosban-jart-a-medve/" TargetMode="External"/><Relationship Id="rId3" Type="http://schemas.openxmlformats.org/officeDocument/2006/relationships/hyperlink" Target="https://ucarecdn.com/53795a4c-4a1c-474d-91de-5ddde1f7e440/" TargetMode="External"/><Relationship Id="rId21" Type="http://schemas.openxmlformats.org/officeDocument/2006/relationships/hyperlink" Target="https://ucarecdn.com/b0f2be2c-cfa0-4ae8-8f8d-b39f253706e5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ucarecdn.com/f0227f80-9bb8-4796-907a-26ff7edcc898/" TargetMode="External"/><Relationship Id="rId12" Type="http://schemas.openxmlformats.org/officeDocument/2006/relationships/hyperlink" Target="https://uh.ro/esztenara-tamadt-egy-medve/" TargetMode="External"/><Relationship Id="rId17" Type="http://schemas.openxmlformats.org/officeDocument/2006/relationships/hyperlink" Target="http://itthon.transindex.ro/?hir=55934&amp;Medve_koszalt_orak_kozben_egy_Maros_megyei_iskola_udvaran" TargetMode="External"/><Relationship Id="rId25" Type="http://schemas.openxmlformats.org/officeDocument/2006/relationships/hyperlink" Target="http://itthon.transindex.ro/?hir=57171&amp;horgaszas_kozben_olt_meg_egy_ferfit_a_medve_maros_megyeben" TargetMode="External"/><Relationship Id="rId33" Type="http://schemas.openxmlformats.org/officeDocument/2006/relationships/hyperlink" Target="https://www.facebook.com/2689393464421146/posts/3273371496023337/?sfnsn=mo" TargetMode="External"/><Relationship Id="rId2" Type="http://schemas.openxmlformats.org/officeDocument/2006/relationships/hyperlink" Target="https://uh.ro/igy-setal-a-medve-homorodfurdon-video/" TargetMode="External"/><Relationship Id="rId16" Type="http://schemas.openxmlformats.org/officeDocument/2006/relationships/hyperlink" Target="http://itthon.transindex.ro/images/__leo/cikkek/73012_medve.jpg" TargetMode="External"/><Relationship Id="rId20" Type="http://schemas.openxmlformats.org/officeDocument/2006/relationships/hyperlink" Target="http://think.transindex.ro/?hir=830&amp;Nagyon_batran_etetik_a_medvebocsokat_a_turistak_a_Transzfogarasi_uton" TargetMode="External"/><Relationship Id="rId29" Type="http://schemas.openxmlformats.org/officeDocument/2006/relationships/hyperlink" Target="https://ucarecdn.com/bbbea835-9496-49c0-9aca-e4850010b348/" TargetMode="External"/><Relationship Id="rId1" Type="http://schemas.openxmlformats.org/officeDocument/2006/relationships/hyperlink" Target="http://i3.ytimg.com/vi/8-UQJg4qA84/hqdefault.jpg" TargetMode="External"/><Relationship Id="rId6" Type="http://schemas.openxmlformats.org/officeDocument/2006/relationships/hyperlink" Target="https://ucarecdn.com/f31258b6-441a-48cb-a0ed-e603cd3b5ae5/" TargetMode="External"/><Relationship Id="rId11" Type="http://schemas.openxmlformats.org/officeDocument/2006/relationships/hyperlink" Target="https://ucarecdn.com/169c5d3d-e901-466a-8f45-519de345e200/" TargetMode="External"/><Relationship Id="rId24" Type="http://schemas.openxmlformats.org/officeDocument/2006/relationships/hyperlink" Target="https://ucarecdn.com/1fb45f6a-9e62-4574-a490-1bf85c854ec7/" TargetMode="External"/><Relationship Id="rId32" Type="http://schemas.openxmlformats.org/officeDocument/2006/relationships/hyperlink" Target="https://scontent.fiev1-1.fna.fbcdn.net/v/t1.0-9/76604982_3273371339356686_7766264455670792192_n.jpg?_nc_cat=107&amp;_nc_oc=AQnI9YW1UWLnn0x2kOR_LkWWDaFENUgyLaiRA3nURvFtECUulMcRYd01xNN3AYXRQSA&amp;_nc_ht=scontent.fiev1-1.fna&amp;oh=cee57f07759742c804660c2084f19583&amp;oe=5E4F4CEA" TargetMode="External"/><Relationship Id="rId5" Type="http://schemas.openxmlformats.org/officeDocument/2006/relationships/hyperlink" Target="https://www.3szek.ro/load/cikk/121568/medve-koszalt-a-sepsiszentgyorgyi-strand-kornyeken" TargetMode="External"/><Relationship Id="rId15" Type="http://schemas.openxmlformats.org/officeDocument/2006/relationships/hyperlink" Target="https://szekelyhon.ro/aktualis/medve-szentegyhaza-hataraban" TargetMode="External"/><Relationship Id="rId23" Type="http://schemas.openxmlformats.org/officeDocument/2006/relationships/hyperlink" Target="https://www.youtube.com/watch?time_continue=3&amp;v=swiOkGihnC4" TargetMode="External"/><Relationship Id="rId28" Type="http://schemas.openxmlformats.org/officeDocument/2006/relationships/hyperlink" Target="http://itthon.transindex.ro/?hir=57184&amp;ismet_medveket_kergettek_a_szekelyfoldi_csendorok_az_ejszaka" TargetMode="External"/><Relationship Id="rId10" Type="http://schemas.openxmlformats.org/officeDocument/2006/relationships/hyperlink" Target="https://ucarecdn.com/c8d76997-a1c2-4279-b9c8-b238ee9a00f2/" TargetMode="External"/><Relationship Id="rId19" Type="http://schemas.openxmlformats.org/officeDocument/2006/relationships/hyperlink" Target="https://szekelyhon.ro/aktualis/medvecsalad-bukkant-fel-csikszentimre-hataraban" TargetMode="External"/><Relationship Id="rId31" Type="http://schemas.openxmlformats.org/officeDocument/2006/relationships/hyperlink" Target="https://ucarecdn.com/b275ff26-0f2d-4816-bd57-db616e01f7fd/" TargetMode="External"/><Relationship Id="rId4" Type="http://schemas.openxmlformats.org/officeDocument/2006/relationships/hyperlink" Target="https://ucarecdn.com/50105662-1ac2-4c14-9be1-5154b92231f8/" TargetMode="External"/><Relationship Id="rId9" Type="http://schemas.openxmlformats.org/officeDocument/2006/relationships/hyperlink" Target="https://szekelyhon.ro/aktualis/korhazban-van-a-szekelykali-medvetamadas-aldozata" TargetMode="External"/><Relationship Id="rId14" Type="http://schemas.openxmlformats.org/officeDocument/2006/relationships/hyperlink" Target="https://media.szekelyhon.ro/pictures/agerpres/kiemelesek/08_kiemelesek/b_medve-szentegyhaza.jpg" TargetMode="External"/><Relationship Id="rId22" Type="http://schemas.openxmlformats.org/officeDocument/2006/relationships/hyperlink" Target="http://i3.ytimg.com/vi/swiOkGihnC4/hqdefault.jpg" TargetMode="External"/><Relationship Id="rId27" Type="http://schemas.openxmlformats.org/officeDocument/2006/relationships/hyperlink" Target="http://itthon.transindex.ro/?hir=57183&amp;az_esztenan_tamadt_a_medve_egy_ferfira_brasso_megyeben" TargetMode="External"/><Relationship Id="rId30" Type="http://schemas.openxmlformats.org/officeDocument/2006/relationships/hyperlink" Target="https://www.facebook.com/antalarpadandras/videos/1608933712580001/" TargetMode="External"/><Relationship Id="rId8" Type="http://schemas.openxmlformats.org/officeDocument/2006/relationships/hyperlink" Target="https://media.szekelyhon.ro/pictures/udvarhely/aktualis/2017/10_marcius/b_medvetamadas_eted-pa-6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9"/>
  <sheetViews>
    <sheetView tabSelected="1" topLeftCell="H1" workbookViewId="0">
      <pane ySplit="1" topLeftCell="A2" activePane="bottomLeft" state="frozen"/>
      <selection pane="bottomLeft" activeCell="J2" sqref="J2:J98"/>
    </sheetView>
  </sheetViews>
  <sheetFormatPr defaultColWidth="14.42578125" defaultRowHeight="15.75" customHeight="1"/>
  <cols>
    <col min="1" max="1" width="22.7109375" customWidth="1"/>
    <col min="2" max="2" width="33.42578125" customWidth="1"/>
    <col min="3" max="3" width="26.5703125" customWidth="1"/>
    <col min="4" max="4" width="12.28515625" style="17" customWidth="1"/>
    <col min="5" max="5" width="12.28515625" style="19" customWidth="1"/>
    <col min="6" max="6" width="17.5703125" style="19" customWidth="1"/>
    <col min="7" max="7" width="9.7109375" customWidth="1"/>
    <col min="8" max="8" width="7" customWidth="1"/>
    <col min="9" max="10" width="34" customWidth="1"/>
    <col min="11" max="11" width="21.85546875" customWidth="1"/>
    <col min="12" max="12" width="20.85546875" customWidth="1"/>
    <col min="13" max="13" width="106" customWidth="1"/>
    <col min="14" max="14" width="53.42578125" customWidth="1"/>
    <col min="15" max="15" width="102.5703125" customWidth="1"/>
    <col min="16" max="16" width="15.42578125" customWidth="1"/>
    <col min="17" max="17" width="16" customWidth="1"/>
    <col min="18" max="18" width="25.7109375" customWidth="1"/>
    <col min="19" max="19" width="17.425781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4"/>
      <c r="E1" s="20"/>
      <c r="F1" s="20"/>
      <c r="G1" s="1"/>
      <c r="H1" s="1" t="s">
        <v>3</v>
      </c>
      <c r="I1" s="1" t="s">
        <v>4</v>
      </c>
      <c r="J1" s="1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14</v>
      </c>
    </row>
    <row r="2" spans="1:20" ht="15.75" customHeight="1">
      <c r="A2" s="3">
        <v>43549.523206018515</v>
      </c>
      <c r="B2" s="4" t="s">
        <v>15</v>
      </c>
      <c r="C2" s="4" t="s">
        <v>16</v>
      </c>
      <c r="D2" s="15">
        <f>DATE(2019,MONTH(C2),1)</f>
        <v>43525</v>
      </c>
      <c r="E2" s="15" t="s">
        <v>351</v>
      </c>
      <c r="F2" s="21" t="str">
        <f>IF(G2&gt;18,"este",IF(G2&gt;12,"délután",IF(G2&gt;6,"reggel","éjjel")))</f>
        <v>délután</v>
      </c>
      <c r="G2" s="4">
        <f>INT(HOUR(H2))</f>
        <v>17</v>
      </c>
      <c r="H2" s="5">
        <v>0.73055555555555551</v>
      </c>
      <c r="I2" s="4" t="s">
        <v>17</v>
      </c>
      <c r="J2" s="4" t="str">
        <f>RIGHT(I2,LEN(I2)-FIND(CHAR(10),I2))</f>
        <v>Balánbánya</v>
      </c>
      <c r="K2" s="4" t="s">
        <v>18</v>
      </c>
      <c r="L2" s="4" t="s">
        <v>19</v>
      </c>
      <c r="M2" s="4" t="s">
        <v>20</v>
      </c>
      <c r="N2" s="4" t="s">
        <v>21</v>
      </c>
      <c r="O2" s="4"/>
      <c r="P2" s="4" t="s">
        <v>22</v>
      </c>
      <c r="Q2" s="4" t="s">
        <v>23</v>
      </c>
      <c r="R2" s="4" t="str">
        <f>TEXT("4293444047818870752","0")</f>
        <v>4293444047818870000</v>
      </c>
      <c r="S2" s="6" t="str">
        <f>HYPERLINK("https://www.jotform.com/edit/4293444047818870752","Edit Submission")</f>
        <v>Edit Submission</v>
      </c>
      <c r="T2" s="7">
        <v>0</v>
      </c>
    </row>
    <row r="3" spans="1:20" ht="15.75" customHeight="1">
      <c r="A3" s="3">
        <v>43549.52449074074</v>
      </c>
      <c r="B3" s="4" t="s">
        <v>73</v>
      </c>
      <c r="C3" s="4" t="s">
        <v>16</v>
      </c>
      <c r="D3" s="15">
        <f t="shared" ref="D3:D66" si="0">DATE(2019,MONTH(C3),1)</f>
        <v>43525</v>
      </c>
      <c r="E3" s="15" t="s">
        <v>351</v>
      </c>
      <c r="F3" s="21" t="str">
        <f t="shared" ref="F3:F66" si="1">IF(G3&gt;18,"este",IF(G3&gt;12,"délután",IF(G3&gt;6,"reggel","éjjel")))</f>
        <v>délután</v>
      </c>
      <c r="G3" s="4">
        <f t="shared" ref="G3:G66" si="2">INT(HOUR(H3))</f>
        <v>17</v>
      </c>
      <c r="H3" s="5">
        <v>0.73263888888888884</v>
      </c>
      <c r="I3" s="4" t="s">
        <v>17</v>
      </c>
      <c r="J3" s="4" t="str">
        <f t="shared" ref="J3:J66" si="3">RIGHT(I3,LEN(I3)-FIND(CHAR(10),I3))</f>
        <v>Balánbánya</v>
      </c>
      <c r="K3" s="4" t="s">
        <v>18</v>
      </c>
      <c r="L3" s="4"/>
      <c r="M3" s="4"/>
      <c r="N3" s="4"/>
      <c r="O3" s="4" t="str">
        <f t="shared" ref="O3:O6" si="4">HYPERLINK("","")</f>
        <v/>
      </c>
      <c r="P3" s="4"/>
      <c r="Q3" s="4" t="s">
        <v>23</v>
      </c>
      <c r="R3" s="4" t="str">
        <f>TEXT("4293445167817967828","0")</f>
        <v>4293445167817960000</v>
      </c>
      <c r="S3" s="6" t="str">
        <f>HYPERLINK("https://www.jotform.com/edit/4293445167817967828","Edit Submission")</f>
        <v>Edit Submission</v>
      </c>
      <c r="T3" s="7">
        <v>0</v>
      </c>
    </row>
    <row r="4" spans="1:20" ht="15.75" customHeight="1">
      <c r="A4" s="3">
        <v>43549.575995370367</v>
      </c>
      <c r="B4" s="4" t="s">
        <v>15</v>
      </c>
      <c r="C4" s="4" t="s">
        <v>16</v>
      </c>
      <c r="D4" s="15">
        <f t="shared" si="0"/>
        <v>43525</v>
      </c>
      <c r="E4" s="15" t="s">
        <v>351</v>
      </c>
      <c r="F4" s="21" t="str">
        <f t="shared" si="1"/>
        <v>délután</v>
      </c>
      <c r="G4" s="4">
        <f t="shared" si="2"/>
        <v>18</v>
      </c>
      <c r="H4" s="5">
        <v>0.78333333333333333</v>
      </c>
      <c r="I4" s="4" t="s">
        <v>17</v>
      </c>
      <c r="J4" s="4" t="str">
        <f t="shared" si="3"/>
        <v>Balánbánya</v>
      </c>
      <c r="K4" s="4" t="s">
        <v>24</v>
      </c>
      <c r="L4" s="4" t="s">
        <v>19</v>
      </c>
      <c r="M4" s="4" t="s">
        <v>20</v>
      </c>
      <c r="N4" s="4" t="s">
        <v>25</v>
      </c>
      <c r="O4" s="4" t="str">
        <f t="shared" si="4"/>
        <v/>
      </c>
      <c r="P4" s="4" t="s">
        <v>25</v>
      </c>
      <c r="Q4" s="4" t="s">
        <v>23</v>
      </c>
      <c r="R4" s="4" t="str">
        <f>TEXT("4293489667818302619","0")</f>
        <v>4293489667818300000</v>
      </c>
      <c r="S4" s="6" t="str">
        <f>HYPERLINK("https://www.jotform.com/edit/4293489667818302619","Edit Submission")</f>
        <v>Edit Submission</v>
      </c>
      <c r="T4" s="7">
        <v>0</v>
      </c>
    </row>
    <row r="5" spans="1:20" ht="15.75" customHeight="1">
      <c r="A5" s="3">
        <v>43549.58390046296</v>
      </c>
      <c r="B5" s="4" t="s">
        <v>26</v>
      </c>
      <c r="C5" s="4" t="s">
        <v>16</v>
      </c>
      <c r="D5" s="15">
        <f t="shared" si="0"/>
        <v>43525</v>
      </c>
      <c r="E5" s="15" t="s">
        <v>351</v>
      </c>
      <c r="F5" s="21" t="str">
        <f t="shared" si="1"/>
        <v>este</v>
      </c>
      <c r="G5" s="4">
        <f t="shared" si="2"/>
        <v>19</v>
      </c>
      <c r="H5" s="5">
        <v>0.79166666666666663</v>
      </c>
      <c r="I5" s="4" t="s">
        <v>27</v>
      </c>
      <c r="J5" s="4" t="str">
        <f t="shared" si="3"/>
        <v>Borszék</v>
      </c>
      <c r="K5" s="4" t="s">
        <v>18</v>
      </c>
      <c r="L5" s="4"/>
      <c r="M5" s="4"/>
      <c r="N5" s="4"/>
      <c r="O5" s="4" t="str">
        <f t="shared" si="4"/>
        <v/>
      </c>
      <c r="P5" s="4"/>
      <c r="Q5" s="4" t="s">
        <v>23</v>
      </c>
      <c r="R5" s="4" t="str">
        <f>TEXT("4293496497817261096","0")</f>
        <v>4293496497817260000</v>
      </c>
      <c r="S5" s="6" t="str">
        <f>HYPERLINK("https://www.jotform.com/edit/4293496497817261096","Edit Submission")</f>
        <v>Edit Submission</v>
      </c>
      <c r="T5" s="7">
        <v>0</v>
      </c>
    </row>
    <row r="6" spans="1:20" ht="15.75" customHeight="1">
      <c r="A6" s="3">
        <v>43549.618425925924</v>
      </c>
      <c r="B6" s="4" t="s">
        <v>15</v>
      </c>
      <c r="C6" s="8">
        <v>43444</v>
      </c>
      <c r="D6" s="15">
        <f t="shared" si="0"/>
        <v>43800</v>
      </c>
      <c r="E6" s="15" t="s">
        <v>352</v>
      </c>
      <c r="F6" s="21" t="str">
        <f t="shared" si="1"/>
        <v>este</v>
      </c>
      <c r="G6" s="4">
        <f t="shared" si="2"/>
        <v>21</v>
      </c>
      <c r="H6" s="5">
        <v>0.90833333333333333</v>
      </c>
      <c r="I6" s="4" t="s">
        <v>28</v>
      </c>
      <c r="J6" s="4" t="str">
        <f t="shared" si="3"/>
        <v>Zetelaka</v>
      </c>
      <c r="K6" s="4" t="s">
        <v>18</v>
      </c>
      <c r="L6" s="4" t="s">
        <v>29</v>
      </c>
      <c r="M6" s="4" t="s">
        <v>30</v>
      </c>
      <c r="N6" s="4" t="s">
        <v>31</v>
      </c>
      <c r="O6" s="4" t="str">
        <f t="shared" si="4"/>
        <v/>
      </c>
      <c r="P6" s="4" t="s">
        <v>32</v>
      </c>
      <c r="Q6" s="4" t="s">
        <v>33</v>
      </c>
      <c r="R6" s="4" t="str">
        <f>TEXT("4293526321818027891","0")</f>
        <v>4293526321818020000</v>
      </c>
      <c r="S6" s="6" t="str">
        <f>HYPERLINK("https://www.jotform.com/edit/4293526321818027891","Edit Submission")</f>
        <v>Edit Submission</v>
      </c>
    </row>
    <row r="7" spans="1:20" ht="15.75" customHeight="1">
      <c r="A7" s="3">
        <v>43549.648402777777</v>
      </c>
      <c r="B7" s="4" t="s">
        <v>15</v>
      </c>
      <c r="C7" s="9">
        <v>43802</v>
      </c>
      <c r="D7" s="15">
        <f t="shared" si="0"/>
        <v>43800</v>
      </c>
      <c r="E7" s="15" t="s">
        <v>352</v>
      </c>
      <c r="F7" s="21" t="str">
        <f t="shared" si="1"/>
        <v>este</v>
      </c>
      <c r="G7" s="4">
        <f t="shared" si="2"/>
        <v>19</v>
      </c>
      <c r="H7" s="5">
        <v>0.81388888888888888</v>
      </c>
      <c r="I7" s="4" t="s">
        <v>34</v>
      </c>
      <c r="J7" s="4" t="str">
        <f t="shared" si="3"/>
        <v>Gyergyócsomafalva</v>
      </c>
      <c r="K7" s="4" t="s">
        <v>35</v>
      </c>
      <c r="L7" s="4" t="s">
        <v>36</v>
      </c>
      <c r="M7" s="4" t="s">
        <v>37</v>
      </c>
      <c r="N7" s="4"/>
      <c r="O7" s="4"/>
      <c r="P7" s="4" t="s">
        <v>38</v>
      </c>
      <c r="Q7" s="4" t="s">
        <v>23</v>
      </c>
      <c r="R7" s="4" t="str">
        <f>TEXT("4293552207817460289","0")</f>
        <v>4293552207817460000</v>
      </c>
      <c r="S7" s="6" t="str">
        <f>HYPERLINK("https://www.jotform.com/edit/4293552207817460289","Edit Submission")</f>
        <v>Edit Submission</v>
      </c>
      <c r="T7" s="7">
        <v>0</v>
      </c>
    </row>
    <row r="8" spans="1:20" ht="15.75" customHeight="1">
      <c r="A8" s="3">
        <v>43549.649236111109</v>
      </c>
      <c r="B8" s="4" t="s">
        <v>26</v>
      </c>
      <c r="C8" s="4" t="s">
        <v>16</v>
      </c>
      <c r="D8" s="15">
        <f t="shared" si="0"/>
        <v>43525</v>
      </c>
      <c r="E8" s="15" t="s">
        <v>351</v>
      </c>
      <c r="F8" s="21" t="str">
        <f t="shared" si="1"/>
        <v>este</v>
      </c>
      <c r="G8" s="4">
        <f t="shared" si="2"/>
        <v>20</v>
      </c>
      <c r="H8" s="5">
        <v>0.8569444444444444</v>
      </c>
      <c r="I8" s="4" t="s">
        <v>39</v>
      </c>
      <c r="J8" s="4" t="str">
        <f t="shared" si="3"/>
        <v>Bélbor</v>
      </c>
      <c r="K8" s="4" t="s">
        <v>18</v>
      </c>
      <c r="L8" s="4"/>
      <c r="M8" s="4"/>
      <c r="N8" s="4"/>
      <c r="O8" s="4"/>
      <c r="P8" s="4"/>
      <c r="Q8" s="4" t="s">
        <v>23</v>
      </c>
      <c r="R8" s="4" t="str">
        <f>TEXT("4293552927812436023","0")</f>
        <v>4293552927812430000</v>
      </c>
      <c r="S8" s="6" t="str">
        <f>HYPERLINK("https://www.jotform.com/edit/4293552927812436023","Edit Submission")</f>
        <v>Edit Submission</v>
      </c>
      <c r="T8" s="7">
        <v>0</v>
      </c>
    </row>
    <row r="9" spans="1:20" ht="15.75" customHeight="1">
      <c r="A9" s="3"/>
      <c r="B9" s="4" t="s">
        <v>15</v>
      </c>
      <c r="C9" s="4" t="s">
        <v>40</v>
      </c>
      <c r="D9" s="15">
        <f t="shared" si="0"/>
        <v>43647</v>
      </c>
      <c r="E9" s="15" t="s">
        <v>353</v>
      </c>
      <c r="F9" s="21" t="str">
        <f t="shared" si="1"/>
        <v>este</v>
      </c>
      <c r="G9" s="4">
        <f t="shared" si="2"/>
        <v>22</v>
      </c>
      <c r="H9" s="5">
        <v>0.94027777777777777</v>
      </c>
      <c r="I9" s="4" t="s">
        <v>41</v>
      </c>
      <c r="J9" s="4" t="str">
        <f t="shared" si="3"/>
        <v>Tusnádfürdő</v>
      </c>
      <c r="K9" s="4" t="s">
        <v>42</v>
      </c>
      <c r="L9" s="4" t="s">
        <v>29</v>
      </c>
      <c r="M9" s="4" t="s">
        <v>43</v>
      </c>
      <c r="N9" s="4"/>
      <c r="O9" s="4" t="str">
        <f t="shared" ref="O9:O11" si="5">HYPERLINK("","")</f>
        <v/>
      </c>
      <c r="P9" s="4"/>
      <c r="Q9" s="4" t="s">
        <v>44</v>
      </c>
      <c r="R9" s="4" t="str">
        <f>TEXT("4294169398421334377","0")</f>
        <v>4294169398421330000</v>
      </c>
      <c r="S9" s="6" t="str">
        <f>HYPERLINK("https://www.jotform.com/edit/4294169398421334377","Edit Submission")</f>
        <v>Edit Submission</v>
      </c>
    </row>
    <row r="10" spans="1:20" ht="15.75" customHeight="1">
      <c r="A10" s="3"/>
      <c r="B10" s="4" t="s">
        <v>15</v>
      </c>
      <c r="C10" s="4" t="s">
        <v>16</v>
      </c>
      <c r="D10" s="15">
        <f t="shared" si="0"/>
        <v>43525</v>
      </c>
      <c r="E10" s="15" t="s">
        <v>351</v>
      </c>
      <c r="F10" s="21" t="str">
        <f t="shared" si="1"/>
        <v>délután</v>
      </c>
      <c r="G10" s="4">
        <f t="shared" si="2"/>
        <v>17</v>
      </c>
      <c r="H10" s="5">
        <v>0.71736111111111112</v>
      </c>
      <c r="I10" s="4" t="s">
        <v>45</v>
      </c>
      <c r="J10" s="4" t="str">
        <f t="shared" si="3"/>
        <v>Barót</v>
      </c>
      <c r="K10" s="4" t="s">
        <v>18</v>
      </c>
      <c r="L10" s="4" t="s">
        <v>46</v>
      </c>
      <c r="M10" s="4" t="s">
        <v>30</v>
      </c>
      <c r="N10" s="4"/>
      <c r="O10" s="4" t="str">
        <f t="shared" si="5"/>
        <v/>
      </c>
      <c r="P10" s="4"/>
      <c r="Q10" s="4" t="s">
        <v>47</v>
      </c>
      <c r="R10" s="4" t="str">
        <f>TEXT("4294225601215440977","0")</f>
        <v>4294225601215440000</v>
      </c>
      <c r="S10" s="6" t="str">
        <f>HYPERLINK("https://www.jotform.com/edit/4294225601215440977","Edit Submission")</f>
        <v>Edit Submission</v>
      </c>
      <c r="T10" s="7">
        <v>0</v>
      </c>
    </row>
    <row r="11" spans="1:20" ht="15.75" customHeight="1">
      <c r="A11" s="3">
        <v>43550.442777777775</v>
      </c>
      <c r="B11" s="4" t="s">
        <v>15</v>
      </c>
      <c r="C11" s="4" t="s">
        <v>48</v>
      </c>
      <c r="D11" s="15">
        <f t="shared" si="0"/>
        <v>43525</v>
      </c>
      <c r="E11" s="15" t="s">
        <v>351</v>
      </c>
      <c r="F11" s="21" t="str">
        <f t="shared" si="1"/>
        <v>délután</v>
      </c>
      <c r="G11" s="4">
        <f t="shared" si="2"/>
        <v>16</v>
      </c>
      <c r="H11" s="5">
        <v>0.69097222222222221</v>
      </c>
      <c r="I11" s="4" t="s">
        <v>49</v>
      </c>
      <c r="J11" s="4" t="str">
        <f t="shared" si="3"/>
        <v>Csíkszentgyörgy</v>
      </c>
      <c r="K11" s="4" t="s">
        <v>50</v>
      </c>
      <c r="L11" s="4" t="s">
        <v>46</v>
      </c>
      <c r="M11" s="4" t="s">
        <v>37</v>
      </c>
      <c r="N11" s="4" t="s">
        <v>51</v>
      </c>
      <c r="O11" s="4" t="str">
        <f t="shared" si="5"/>
        <v/>
      </c>
      <c r="P11" s="4" t="s">
        <v>52</v>
      </c>
      <c r="Q11" s="4" t="s">
        <v>53</v>
      </c>
      <c r="R11" s="4" t="str">
        <f>TEXT("4294238562715366013","0")</f>
        <v>4294238562715360000</v>
      </c>
      <c r="S11" s="6" t="str">
        <f>HYPERLINK("https://www.jotform.com/edit/4294238562715366013","Edit Submission")</f>
        <v>Edit Submission</v>
      </c>
      <c r="T11" s="7">
        <v>0</v>
      </c>
    </row>
    <row r="12" spans="1:20" ht="15.75" customHeight="1">
      <c r="A12" s="3">
        <v>43550.874560185184</v>
      </c>
      <c r="B12" s="4" t="s">
        <v>54</v>
      </c>
      <c r="C12" s="9">
        <v>43802</v>
      </c>
      <c r="D12" s="15">
        <f t="shared" si="0"/>
        <v>43800</v>
      </c>
      <c r="E12" s="15" t="s">
        <v>352</v>
      </c>
      <c r="F12" s="21" t="str">
        <f t="shared" si="1"/>
        <v>éjjel</v>
      </c>
      <c r="G12" s="4">
        <f t="shared" si="2"/>
        <v>2</v>
      </c>
      <c r="H12" s="5">
        <v>0.12361111111111112</v>
      </c>
      <c r="I12" s="4" t="s">
        <v>55</v>
      </c>
      <c r="J12" s="4" t="str">
        <f t="shared" si="3"/>
        <v>Gyergyóújfalu</v>
      </c>
      <c r="K12" s="4" t="s">
        <v>56</v>
      </c>
      <c r="L12" s="4" t="s">
        <v>57</v>
      </c>
      <c r="M12" s="4" t="s">
        <v>43</v>
      </c>
      <c r="N12" s="4" t="s">
        <v>58</v>
      </c>
      <c r="O12" s="4"/>
      <c r="P12" s="4" t="s">
        <v>59</v>
      </c>
      <c r="Q12" s="4" t="s">
        <v>53</v>
      </c>
      <c r="R12" s="4" t="str">
        <f>TEXT("4294611612714951063","0")</f>
        <v>4294611612714950000</v>
      </c>
      <c r="S12" s="6" t="str">
        <f>HYPERLINK("https://www.jotform.com/edit/4294611612714951063","Edit Submission")</f>
        <v>Edit Submission</v>
      </c>
      <c r="T12" s="7">
        <v>0</v>
      </c>
    </row>
    <row r="13" spans="1:20" ht="15.75" customHeight="1">
      <c r="A13" s="3">
        <v>43552.822939814818</v>
      </c>
      <c r="B13" s="4" t="s">
        <v>15</v>
      </c>
      <c r="C13" s="4" t="s">
        <v>60</v>
      </c>
      <c r="D13" s="15">
        <f t="shared" si="0"/>
        <v>43525</v>
      </c>
      <c r="E13" s="15" t="s">
        <v>351</v>
      </c>
      <c r="F13" s="21" t="str">
        <f t="shared" si="1"/>
        <v>éjjel</v>
      </c>
      <c r="G13" s="4">
        <f t="shared" si="2"/>
        <v>0</v>
      </c>
      <c r="H13" s="5">
        <v>2.9861111111111113E-2</v>
      </c>
      <c r="I13" s="4" t="s">
        <v>61</v>
      </c>
      <c r="J13" s="4" t="str">
        <f t="shared" si="3"/>
        <v>Bögöz</v>
      </c>
      <c r="K13" s="4" t="s">
        <v>18</v>
      </c>
      <c r="L13" s="4" t="s">
        <v>46</v>
      </c>
      <c r="M13" s="4" t="s">
        <v>37</v>
      </c>
      <c r="N13" s="4" t="s">
        <v>62</v>
      </c>
      <c r="O13" s="4" t="str">
        <f>HYPERLINK("","")</f>
        <v/>
      </c>
      <c r="P13" s="4" t="s">
        <v>63</v>
      </c>
      <c r="Q13" s="4" t="s">
        <v>23</v>
      </c>
      <c r="R13" s="4" t="str">
        <f>TEXT("4296295027812189094","0")</f>
        <v>4296295027812180000</v>
      </c>
      <c r="S13" s="6" t="str">
        <f>HYPERLINK("https://www.jotform.com/edit/4296295027812189094","Edit Submission")</f>
        <v>Edit Submission</v>
      </c>
      <c r="T13" s="7">
        <v>0</v>
      </c>
    </row>
    <row r="14" spans="1:20" ht="15">
      <c r="A14" s="3"/>
      <c r="B14" s="4" t="s">
        <v>54</v>
      </c>
      <c r="C14" s="4" t="s">
        <v>60</v>
      </c>
      <c r="D14" s="15">
        <f t="shared" si="0"/>
        <v>43525</v>
      </c>
      <c r="E14" s="15" t="s">
        <v>351</v>
      </c>
      <c r="F14" s="21" t="str">
        <f t="shared" si="1"/>
        <v>este</v>
      </c>
      <c r="G14" s="4">
        <f t="shared" si="2"/>
        <v>21</v>
      </c>
      <c r="H14" s="5">
        <v>0.89513888888888893</v>
      </c>
      <c r="I14" s="4" t="s">
        <v>64</v>
      </c>
      <c r="J14" s="4" t="str">
        <f t="shared" si="3"/>
        <v>Parajd</v>
      </c>
      <c r="K14" s="4" t="s">
        <v>18</v>
      </c>
      <c r="L14" s="4" t="s">
        <v>65</v>
      </c>
      <c r="M14" s="4" t="s">
        <v>66</v>
      </c>
      <c r="N14" s="4" t="s">
        <v>67</v>
      </c>
      <c r="O14" s="4"/>
      <c r="P14" s="4"/>
      <c r="Q14" s="4" t="s">
        <v>68</v>
      </c>
      <c r="R14" s="4" t="str">
        <f>TEXT("4296970726329062924","0")</f>
        <v>4296970726329060000</v>
      </c>
      <c r="S14" s="6" t="str">
        <f>HYPERLINK("https://www.jotform.com/edit/4296970726329062924","Edit Submission")</f>
        <v>Edit Submission</v>
      </c>
      <c r="T14" s="7">
        <v>0</v>
      </c>
    </row>
    <row r="15" spans="1:20" ht="15">
      <c r="A15" s="3"/>
      <c r="B15" s="4" t="s">
        <v>15</v>
      </c>
      <c r="C15" s="4" t="s">
        <v>69</v>
      </c>
      <c r="D15" s="15">
        <f t="shared" si="0"/>
        <v>43525</v>
      </c>
      <c r="E15" s="15" t="s">
        <v>351</v>
      </c>
      <c r="F15" s="21" t="str">
        <f t="shared" si="1"/>
        <v>délután</v>
      </c>
      <c r="G15" s="4">
        <f t="shared" si="2"/>
        <v>17</v>
      </c>
      <c r="H15" s="5">
        <v>0.72916666666666663</v>
      </c>
      <c r="I15" s="4" t="s">
        <v>41</v>
      </c>
      <c r="J15" s="4" t="str">
        <f t="shared" si="3"/>
        <v>Tusnádfürdő</v>
      </c>
      <c r="K15" s="4" t="s">
        <v>70</v>
      </c>
      <c r="L15" s="4" t="s">
        <v>65</v>
      </c>
      <c r="M15" s="4" t="s">
        <v>30</v>
      </c>
      <c r="N15" s="4" t="s">
        <v>71</v>
      </c>
      <c r="O15" s="4" t="str">
        <f>HYPERLINK("","")</f>
        <v/>
      </c>
      <c r="P15" s="4"/>
      <c r="Q15" s="4" t="s">
        <v>72</v>
      </c>
      <c r="R15" s="4" t="str">
        <f>TEXT("4297716767812827297","0")</f>
        <v>4297716767812820000</v>
      </c>
      <c r="S15" s="6" t="str">
        <f>HYPERLINK("https://www.jotform.com/edit/4297716767812827297","Edit Submission")</f>
        <v>Edit Submission</v>
      </c>
      <c r="T15" s="7"/>
    </row>
    <row r="16" spans="1:20" ht="15">
      <c r="A16" s="3"/>
      <c r="B16" s="4" t="s">
        <v>73</v>
      </c>
      <c r="C16" s="4" t="s">
        <v>74</v>
      </c>
      <c r="D16" s="15">
        <f t="shared" si="0"/>
        <v>43525</v>
      </c>
      <c r="E16" s="15" t="s">
        <v>351</v>
      </c>
      <c r="F16" s="21" t="str">
        <f t="shared" si="1"/>
        <v>este</v>
      </c>
      <c r="G16" s="4">
        <f t="shared" si="2"/>
        <v>20</v>
      </c>
      <c r="H16" s="5">
        <v>0.83333333333333337</v>
      </c>
      <c r="I16" s="4" t="s">
        <v>75</v>
      </c>
      <c r="J16" s="4" t="str">
        <f t="shared" si="3"/>
        <v>Fenyéd</v>
      </c>
      <c r="K16" s="4" t="s">
        <v>76</v>
      </c>
      <c r="L16" s="4" t="s">
        <v>29</v>
      </c>
      <c r="M16" s="4"/>
      <c r="N16" s="4" t="s">
        <v>77</v>
      </c>
      <c r="O16" s="4" t="s">
        <v>78</v>
      </c>
      <c r="P16" s="4" t="s">
        <v>79</v>
      </c>
      <c r="Q16" s="4" t="s">
        <v>80</v>
      </c>
      <c r="R16" s="4" t="str">
        <f>TEXT("4297788636327341365","0")</f>
        <v>4297788636327340000</v>
      </c>
      <c r="S16" s="6" t="str">
        <f>HYPERLINK("https://www.jotform.com/edit/4297788636327341365","Edit Submission")</f>
        <v>Edit Submission</v>
      </c>
      <c r="T16" s="7"/>
    </row>
    <row r="17" spans="1:20" ht="15">
      <c r="A17" s="3"/>
      <c r="B17" s="4" t="s">
        <v>15</v>
      </c>
      <c r="C17" s="4" t="s">
        <v>60</v>
      </c>
      <c r="D17" s="15">
        <f t="shared" si="0"/>
        <v>43525</v>
      </c>
      <c r="E17" s="15" t="s">
        <v>351</v>
      </c>
      <c r="F17" s="21" t="str">
        <f t="shared" si="1"/>
        <v>délután</v>
      </c>
      <c r="G17" s="4">
        <f t="shared" si="2"/>
        <v>17</v>
      </c>
      <c r="H17" s="5">
        <v>0.74305555555555558</v>
      </c>
      <c r="I17" s="4" t="s">
        <v>55</v>
      </c>
      <c r="J17" s="4" t="str">
        <f t="shared" si="3"/>
        <v>Gyergyóújfalu</v>
      </c>
      <c r="K17" s="4" t="s">
        <v>81</v>
      </c>
      <c r="L17" s="4" t="s">
        <v>82</v>
      </c>
      <c r="M17" s="4" t="s">
        <v>43</v>
      </c>
      <c r="N17" s="4"/>
      <c r="O17" s="4"/>
      <c r="P17" s="4"/>
      <c r="Q17" s="4" t="s">
        <v>83</v>
      </c>
      <c r="R17" s="4" t="str">
        <f>TEXT("4297815698013157967","0")</f>
        <v>4297815698013150000</v>
      </c>
      <c r="S17" s="6" t="str">
        <f>HYPERLINK("https://www.jotform.com/edit/4297815698013157967","Edit Submission")</f>
        <v>Edit Submission</v>
      </c>
      <c r="T17" s="7"/>
    </row>
    <row r="18" spans="1:20" ht="15">
      <c r="A18" s="3"/>
      <c r="B18" s="4" t="s">
        <v>15</v>
      </c>
      <c r="C18" s="4" t="s">
        <v>84</v>
      </c>
      <c r="D18" s="15">
        <f t="shared" si="0"/>
        <v>43647</v>
      </c>
      <c r="E18" s="15" t="s">
        <v>353</v>
      </c>
      <c r="F18" s="21" t="str">
        <f t="shared" si="1"/>
        <v>délután</v>
      </c>
      <c r="G18" s="4">
        <f t="shared" si="2"/>
        <v>14</v>
      </c>
      <c r="H18" s="5">
        <v>0.59722222222222221</v>
      </c>
      <c r="I18" s="4" t="s">
        <v>85</v>
      </c>
      <c r="J18" s="4" t="str">
        <f t="shared" si="3"/>
        <v>Nyárádremete</v>
      </c>
      <c r="K18" s="4" t="s">
        <v>86</v>
      </c>
      <c r="L18" s="4" t="s">
        <v>29</v>
      </c>
      <c r="M18" s="4" t="s">
        <v>30</v>
      </c>
      <c r="N18" s="4"/>
      <c r="O18" s="4" t="str">
        <f t="shared" ref="O18:O23" si="6">HYPERLINK("","")</f>
        <v/>
      </c>
      <c r="P18" s="4"/>
      <c r="Q18" s="4" t="s">
        <v>87</v>
      </c>
      <c r="R18" s="4" t="str">
        <f>TEXT("4297822795425109976","0")</f>
        <v>4297822795425100000</v>
      </c>
      <c r="S18" s="6" t="str">
        <f>HYPERLINK("https://www.jotform.com/edit/4297822795425109976","Edit Submission")</f>
        <v>Edit Submission</v>
      </c>
      <c r="T18" s="7"/>
    </row>
    <row r="19" spans="1:20" ht="15">
      <c r="A19" s="3"/>
      <c r="B19" s="4" t="s">
        <v>15</v>
      </c>
      <c r="C19" s="4" t="s">
        <v>88</v>
      </c>
      <c r="D19" s="15">
        <f t="shared" si="0"/>
        <v>43525</v>
      </c>
      <c r="E19" s="15" t="s">
        <v>351</v>
      </c>
      <c r="F19" s="21" t="str">
        <f t="shared" si="1"/>
        <v>este</v>
      </c>
      <c r="G19" s="4">
        <f t="shared" si="2"/>
        <v>21</v>
      </c>
      <c r="H19" s="5">
        <v>0.90833333333333333</v>
      </c>
      <c r="I19" s="4" t="s">
        <v>55</v>
      </c>
      <c r="J19" s="4" t="str">
        <f t="shared" si="3"/>
        <v>Gyergyóújfalu</v>
      </c>
      <c r="K19" s="4" t="s">
        <v>18</v>
      </c>
      <c r="L19" s="4" t="s">
        <v>82</v>
      </c>
      <c r="M19" s="4" t="s">
        <v>30</v>
      </c>
      <c r="N19" s="4"/>
      <c r="O19" s="4" t="str">
        <f t="shared" si="6"/>
        <v/>
      </c>
      <c r="P19" s="4"/>
      <c r="Q19" s="4" t="s">
        <v>89</v>
      </c>
      <c r="R19" s="4" t="str">
        <f>TEXT("4297846187812607561","0")</f>
        <v>4297846187812600000</v>
      </c>
      <c r="S19" s="6" t="str">
        <f>HYPERLINK("https://www.jotform.com/edit/4297846187812607561","Edit Submission")</f>
        <v>Edit Submission</v>
      </c>
      <c r="T19" s="7"/>
    </row>
    <row r="20" spans="1:20" ht="15">
      <c r="A20" s="3"/>
      <c r="B20" s="4" t="s">
        <v>15</v>
      </c>
      <c r="C20" s="4" t="s">
        <v>88</v>
      </c>
      <c r="D20" s="15">
        <f t="shared" si="0"/>
        <v>43525</v>
      </c>
      <c r="E20" s="15" t="s">
        <v>351</v>
      </c>
      <c r="F20" s="21" t="str">
        <f t="shared" si="1"/>
        <v>este</v>
      </c>
      <c r="G20" s="4">
        <f t="shared" si="2"/>
        <v>22</v>
      </c>
      <c r="H20" s="5">
        <v>0.9506944444444444</v>
      </c>
      <c r="I20" s="4" t="s">
        <v>41</v>
      </c>
      <c r="J20" s="4" t="str">
        <f t="shared" si="3"/>
        <v>Tusnádfürdő</v>
      </c>
      <c r="K20" s="4" t="s">
        <v>90</v>
      </c>
      <c r="L20" s="4" t="s">
        <v>91</v>
      </c>
      <c r="M20" s="4" t="s">
        <v>30</v>
      </c>
      <c r="N20" s="4"/>
      <c r="O20" s="4" t="str">
        <f t="shared" si="6"/>
        <v/>
      </c>
      <c r="P20" s="4"/>
      <c r="Q20" s="4" t="s">
        <v>92</v>
      </c>
      <c r="R20" s="4" t="str">
        <f>TEXT("4297892534911271006","0")</f>
        <v>4297892534911270000</v>
      </c>
      <c r="S20" s="6" t="str">
        <f>HYPERLINK("https://www.jotform.com/edit/4297892534911271006","Edit Submission")</f>
        <v>Edit Submission</v>
      </c>
      <c r="T20" s="7"/>
    </row>
    <row r="21" spans="1:20" ht="15">
      <c r="A21" s="3"/>
      <c r="B21" s="4" t="s">
        <v>15</v>
      </c>
      <c r="C21" s="4" t="s">
        <v>48</v>
      </c>
      <c r="D21" s="15">
        <f t="shared" si="0"/>
        <v>43525</v>
      </c>
      <c r="E21" s="15" t="s">
        <v>351</v>
      </c>
      <c r="F21" s="21" t="str">
        <f t="shared" si="1"/>
        <v>este</v>
      </c>
      <c r="G21" s="4">
        <f t="shared" si="2"/>
        <v>22</v>
      </c>
      <c r="H21" s="5">
        <v>0.92152777777777772</v>
      </c>
      <c r="I21" s="4" t="s">
        <v>93</v>
      </c>
      <c r="J21" s="4" t="str">
        <f t="shared" si="3"/>
        <v>Szépviz</v>
      </c>
      <c r="K21" s="4" t="s">
        <v>18</v>
      </c>
      <c r="L21" s="4" t="s">
        <v>29</v>
      </c>
      <c r="M21" s="4" t="s">
        <v>30</v>
      </c>
      <c r="N21" s="4"/>
      <c r="O21" s="4" t="str">
        <f t="shared" si="6"/>
        <v/>
      </c>
      <c r="P21" s="4"/>
      <c r="Q21" s="4" t="s">
        <v>94</v>
      </c>
      <c r="R21" s="4" t="str">
        <f>TEXT("4297927003512168324","0")</f>
        <v>4297927003512160000</v>
      </c>
      <c r="S21" s="6" t="str">
        <f>HYPERLINK("https://www.jotform.com/edit/4297927003512168324","Edit Submission")</f>
        <v>Edit Submission</v>
      </c>
      <c r="T21" s="7"/>
    </row>
    <row r="22" spans="1:20" ht="15">
      <c r="A22" s="3"/>
      <c r="B22" s="4" t="s">
        <v>15</v>
      </c>
      <c r="C22" s="4" t="s">
        <v>95</v>
      </c>
      <c r="D22" s="15">
        <f t="shared" si="0"/>
        <v>43800</v>
      </c>
      <c r="E22" s="15" t="s">
        <v>352</v>
      </c>
      <c r="F22" s="21" t="str">
        <f t="shared" si="1"/>
        <v>este</v>
      </c>
      <c r="G22" s="4">
        <f t="shared" si="2"/>
        <v>21</v>
      </c>
      <c r="H22" s="5">
        <v>0.875</v>
      </c>
      <c r="I22" s="4" t="s">
        <v>96</v>
      </c>
      <c r="J22" s="4" t="str">
        <f t="shared" si="3"/>
        <v>Székelyudvarhely</v>
      </c>
      <c r="K22" s="4" t="s">
        <v>18</v>
      </c>
      <c r="L22" s="4" t="s">
        <v>29</v>
      </c>
      <c r="M22" s="4" t="s">
        <v>66</v>
      </c>
      <c r="N22" s="4" t="s">
        <v>97</v>
      </c>
      <c r="O22" s="4" t="str">
        <f t="shared" si="6"/>
        <v/>
      </c>
      <c r="P22" s="4" t="s">
        <v>98</v>
      </c>
      <c r="Q22" s="4" t="s">
        <v>99</v>
      </c>
      <c r="R22" s="4" t="str">
        <f>TEXT("4298223055697063760","0")</f>
        <v>4298223055697060000</v>
      </c>
      <c r="S22" s="6" t="str">
        <f>HYPERLINK("https://www.jotform.com/edit/4298223055697063760","Edit Submission")</f>
        <v>Edit Submission</v>
      </c>
      <c r="T22" s="7"/>
    </row>
    <row r="23" spans="1:20" ht="15">
      <c r="A23" s="3">
        <v>43555.119710648149</v>
      </c>
      <c r="B23" s="4" t="s">
        <v>15</v>
      </c>
      <c r="C23" s="4" t="s">
        <v>88</v>
      </c>
      <c r="D23" s="15">
        <f t="shared" si="0"/>
        <v>43525</v>
      </c>
      <c r="E23" s="15" t="s">
        <v>351</v>
      </c>
      <c r="F23" s="21" t="str">
        <f t="shared" si="1"/>
        <v>délután</v>
      </c>
      <c r="G23" s="4">
        <f t="shared" si="2"/>
        <v>16</v>
      </c>
      <c r="H23" s="5">
        <v>0.69791666666666663</v>
      </c>
      <c r="I23" s="4" t="s">
        <v>100</v>
      </c>
      <c r="J23" s="4" t="str">
        <f t="shared" si="3"/>
        <v>Csíkszentmárton</v>
      </c>
      <c r="K23" s="4" t="s">
        <v>101</v>
      </c>
      <c r="L23" s="4" t="s">
        <v>29</v>
      </c>
      <c r="M23" s="4" t="s">
        <v>30</v>
      </c>
      <c r="N23" s="4"/>
      <c r="O23" s="4" t="str">
        <f t="shared" si="6"/>
        <v/>
      </c>
      <c r="P23" s="4"/>
      <c r="Q23" s="4" t="s">
        <v>102</v>
      </c>
      <c r="R23" s="4" t="str">
        <f>TEXT("4298279439118225248","0")</f>
        <v>4298279439118220000</v>
      </c>
      <c r="S23" s="6" t="str">
        <f>HYPERLINK("https://www.jotform.com/edit/4298279439118225248","Edit Submission")</f>
        <v>Edit Submission</v>
      </c>
      <c r="T23" s="7"/>
    </row>
    <row r="24" spans="1:20" ht="15">
      <c r="A24" s="3">
        <v>43555.164074074077</v>
      </c>
      <c r="B24" s="4" t="s">
        <v>15</v>
      </c>
      <c r="C24" s="4" t="s">
        <v>103</v>
      </c>
      <c r="D24" s="15">
        <f t="shared" si="0"/>
        <v>43678</v>
      </c>
      <c r="E24" s="15" t="s">
        <v>354</v>
      </c>
      <c r="F24" s="21" t="str">
        <f t="shared" si="1"/>
        <v>délután</v>
      </c>
      <c r="G24" s="4">
        <f t="shared" si="2"/>
        <v>18</v>
      </c>
      <c r="H24" s="5">
        <v>0.78194444444444444</v>
      </c>
      <c r="I24" s="4" t="s">
        <v>104</v>
      </c>
      <c r="J24" s="4" t="str">
        <f t="shared" si="3"/>
        <v>Etéd</v>
      </c>
      <c r="K24" s="4" t="s">
        <v>105</v>
      </c>
      <c r="L24" s="4" t="s">
        <v>29</v>
      </c>
      <c r="M24" s="4" t="s">
        <v>30</v>
      </c>
      <c r="N24" s="4" t="s">
        <v>106</v>
      </c>
      <c r="O24" s="4" t="s">
        <v>107</v>
      </c>
      <c r="P24" s="4" t="s">
        <v>106</v>
      </c>
      <c r="Q24" s="4" t="s">
        <v>108</v>
      </c>
      <c r="R24" s="4" t="str">
        <f>TEXT("4298317746121497459","0")</f>
        <v>4298317746121490000</v>
      </c>
      <c r="S24" s="6" t="str">
        <f>HYPERLINK("https://www.jotform.com/edit/4298317746121497459","Edit Submission")</f>
        <v>Edit Submission</v>
      </c>
      <c r="T24" s="7"/>
    </row>
    <row r="25" spans="1:20" ht="15">
      <c r="A25" s="3">
        <v>43555.225439814814</v>
      </c>
      <c r="B25" s="4" t="s">
        <v>15</v>
      </c>
      <c r="C25" s="4" t="s">
        <v>48</v>
      </c>
      <c r="D25" s="15">
        <f t="shared" si="0"/>
        <v>43525</v>
      </c>
      <c r="E25" s="15" t="s">
        <v>351</v>
      </c>
      <c r="F25" s="21" t="str">
        <f t="shared" si="1"/>
        <v>éjjel</v>
      </c>
      <c r="G25" s="4">
        <f t="shared" si="2"/>
        <v>5</v>
      </c>
      <c r="H25" s="5">
        <v>0.24305555555555555</v>
      </c>
      <c r="I25" s="4" t="s">
        <v>109</v>
      </c>
      <c r="J25" s="4" t="str">
        <f t="shared" si="3"/>
        <v>Csíkszentkirály</v>
      </c>
      <c r="K25" s="4" t="s">
        <v>110</v>
      </c>
      <c r="L25" s="4" t="s">
        <v>29</v>
      </c>
      <c r="M25" s="4" t="s">
        <v>37</v>
      </c>
      <c r="N25" s="4"/>
      <c r="O25" s="4" t="str">
        <f>HYPERLINK("","")</f>
        <v/>
      </c>
      <c r="P25" s="4" t="s">
        <v>111</v>
      </c>
      <c r="Q25" s="4" t="s">
        <v>112</v>
      </c>
      <c r="R25" s="4" t="str">
        <f>TEXT("4298370786812856869","0")</f>
        <v>4298370786812850000</v>
      </c>
      <c r="S25" s="6" t="str">
        <f>HYPERLINK("https://www.jotform.com/edit/4298370786812856869","Edit Submission")</f>
        <v>Edit Submission</v>
      </c>
      <c r="T25" s="7"/>
    </row>
    <row r="26" spans="1:20" ht="15">
      <c r="A26" s="3"/>
      <c r="B26" s="4" t="s">
        <v>15</v>
      </c>
      <c r="C26" s="4" t="s">
        <v>113</v>
      </c>
      <c r="D26" s="15">
        <f t="shared" si="0"/>
        <v>43525</v>
      </c>
      <c r="E26" s="15" t="s">
        <v>351</v>
      </c>
      <c r="F26" s="21" t="str">
        <f t="shared" si="1"/>
        <v>este</v>
      </c>
      <c r="G26" s="4">
        <f t="shared" si="2"/>
        <v>20</v>
      </c>
      <c r="H26" s="5">
        <v>0.85902777777777772</v>
      </c>
      <c r="I26" s="4" t="s">
        <v>114</v>
      </c>
      <c r="J26" s="4" t="str">
        <f t="shared" si="3"/>
        <v>Homoródalmás</v>
      </c>
      <c r="K26" s="4" t="s">
        <v>115</v>
      </c>
      <c r="L26" s="4" t="s">
        <v>91</v>
      </c>
      <c r="M26" s="4" t="s">
        <v>30</v>
      </c>
      <c r="N26" s="4"/>
      <c r="O26" s="6" t="s">
        <v>116</v>
      </c>
      <c r="P26" s="6" t="s">
        <v>117</v>
      </c>
      <c r="Q26" s="4" t="s">
        <v>118</v>
      </c>
      <c r="R26" s="4" t="str">
        <f>TEXT("4298416486375715983","0")</f>
        <v>4298416486375710000</v>
      </c>
      <c r="S26" s="6" t="str">
        <f>HYPERLINK("https://www.jotform.com/edit/4298416486375715983","Edit Submission")</f>
        <v>Edit Submission</v>
      </c>
      <c r="T26" s="7"/>
    </row>
    <row r="27" spans="1:20" ht="15">
      <c r="A27" s="3"/>
      <c r="B27" s="4" t="s">
        <v>15</v>
      </c>
      <c r="C27" s="4" t="s">
        <v>119</v>
      </c>
      <c r="D27" s="15">
        <f t="shared" si="0"/>
        <v>43525</v>
      </c>
      <c r="E27" s="15" t="s">
        <v>351</v>
      </c>
      <c r="F27" s="21" t="str">
        <f t="shared" si="1"/>
        <v>este</v>
      </c>
      <c r="G27" s="4">
        <f t="shared" si="2"/>
        <v>20</v>
      </c>
      <c r="H27" s="5">
        <v>0.84791666666666665</v>
      </c>
      <c r="I27" s="4" t="s">
        <v>28</v>
      </c>
      <c r="J27" s="4" t="str">
        <f t="shared" si="3"/>
        <v>Zetelaka</v>
      </c>
      <c r="K27" s="4" t="s">
        <v>120</v>
      </c>
      <c r="L27" s="4" t="s">
        <v>82</v>
      </c>
      <c r="M27" s="4" t="s">
        <v>30</v>
      </c>
      <c r="N27" s="4"/>
      <c r="O27" s="4"/>
      <c r="P27" s="4"/>
      <c r="Q27" s="4" t="s">
        <v>121</v>
      </c>
      <c r="R27" s="4" t="str">
        <f>TEXT("4298649151512642336","0")</f>
        <v>4298649151512640000</v>
      </c>
      <c r="S27" s="6" t="str">
        <f>HYPERLINK("https://www.jotform.com/edit/4298649151512642336","Edit Submission")</f>
        <v>Edit Submission</v>
      </c>
      <c r="T27" s="7"/>
    </row>
    <row r="28" spans="1:20" ht="15">
      <c r="A28" s="3">
        <v>43555.891724537039</v>
      </c>
      <c r="B28" s="4" t="s">
        <v>15</v>
      </c>
      <c r="C28" s="9">
        <v>43500</v>
      </c>
      <c r="D28" s="15">
        <f t="shared" si="0"/>
        <v>43497</v>
      </c>
      <c r="E28" s="15" t="s">
        <v>355</v>
      </c>
      <c r="F28" s="21" t="str">
        <f t="shared" si="1"/>
        <v>éjjel</v>
      </c>
      <c r="G28" s="4">
        <f t="shared" si="2"/>
        <v>3</v>
      </c>
      <c r="H28" s="5">
        <v>0.14097222222222222</v>
      </c>
      <c r="I28" s="4" t="s">
        <v>17</v>
      </c>
      <c r="J28" s="4" t="str">
        <f t="shared" si="3"/>
        <v>Balánbánya</v>
      </c>
      <c r="K28" s="4" t="s">
        <v>18</v>
      </c>
      <c r="L28" s="4"/>
      <c r="M28" s="4"/>
      <c r="N28" s="4"/>
      <c r="O28" s="4"/>
      <c r="P28" s="4"/>
      <c r="Q28" s="4" t="s">
        <v>23</v>
      </c>
      <c r="R28" s="4" t="str">
        <f>TEXT("4298946457815111147","0")</f>
        <v>4298946457815110000</v>
      </c>
      <c r="S28" s="6" t="str">
        <f>HYPERLINK("https://www.jotform.com/edit/4298946457815111147","Edit Submission")</f>
        <v>Edit Submission</v>
      </c>
      <c r="T28" s="7">
        <v>0</v>
      </c>
    </row>
    <row r="29" spans="1:20" ht="15">
      <c r="A29" s="3">
        <v>43555.896655092591</v>
      </c>
      <c r="B29" s="4" t="s">
        <v>122</v>
      </c>
      <c r="C29" s="9">
        <v>43500</v>
      </c>
      <c r="D29" s="15">
        <f t="shared" si="0"/>
        <v>43497</v>
      </c>
      <c r="E29" s="15" t="s">
        <v>355</v>
      </c>
      <c r="F29" s="21" t="str">
        <f t="shared" si="1"/>
        <v>éjjel</v>
      </c>
      <c r="G29" s="4">
        <f t="shared" si="2"/>
        <v>2</v>
      </c>
      <c r="H29" s="5">
        <v>0.10416666666666667</v>
      </c>
      <c r="I29" s="4" t="s">
        <v>27</v>
      </c>
      <c r="J29" s="4" t="str">
        <f t="shared" si="3"/>
        <v>Borszék</v>
      </c>
      <c r="K29" s="4" t="s">
        <v>18</v>
      </c>
      <c r="L29" s="4" t="s">
        <v>65</v>
      </c>
      <c r="M29" s="4"/>
      <c r="N29" s="4"/>
      <c r="O29" s="4"/>
      <c r="P29" s="4"/>
      <c r="Q29" s="4" t="s">
        <v>23</v>
      </c>
      <c r="R29" s="4" t="str">
        <f>TEXT("4298950707815891867","0")</f>
        <v>4298950707815890000</v>
      </c>
      <c r="S29" s="6" t="str">
        <f>HYPERLINK("https://www.jotform.com/edit/4298950707815891867","Edit Submission")</f>
        <v>Edit Submission</v>
      </c>
      <c r="T29" s="7">
        <v>0</v>
      </c>
    </row>
    <row r="30" spans="1:20" ht="15">
      <c r="A30" s="3">
        <v>43555.900358796294</v>
      </c>
      <c r="B30" s="4" t="s">
        <v>26</v>
      </c>
      <c r="C30" s="9">
        <v>43528</v>
      </c>
      <c r="D30" s="15">
        <f t="shared" si="0"/>
        <v>43525</v>
      </c>
      <c r="E30" s="15" t="s">
        <v>351</v>
      </c>
      <c r="F30" s="21" t="str">
        <f t="shared" si="1"/>
        <v>éjjel</v>
      </c>
      <c r="G30" s="4">
        <f t="shared" si="2"/>
        <v>3</v>
      </c>
      <c r="H30" s="5">
        <v>0.14930555555555555</v>
      </c>
      <c r="I30" s="4" t="s">
        <v>61</v>
      </c>
      <c r="J30" s="4" t="str">
        <f t="shared" si="3"/>
        <v>Bögöz</v>
      </c>
      <c r="K30" s="4" t="s">
        <v>18</v>
      </c>
      <c r="L30" s="4"/>
      <c r="M30" s="4"/>
      <c r="N30" s="4"/>
      <c r="O30" s="4"/>
      <c r="P30" s="4"/>
      <c r="Q30" s="4" t="s">
        <v>23</v>
      </c>
      <c r="R30" s="4" t="str">
        <f>TEXT("4298953907811239969","0")</f>
        <v>4298953907811230000</v>
      </c>
      <c r="S30" s="6" t="str">
        <f>HYPERLINK("https://www.jotform.com/edit/4298953907811239969","Edit Submission")</f>
        <v>Edit Submission</v>
      </c>
      <c r="T30" s="7">
        <v>0</v>
      </c>
    </row>
    <row r="31" spans="1:20" ht="15">
      <c r="A31" s="3">
        <v>43555.927928240744</v>
      </c>
      <c r="B31" s="4" t="s">
        <v>26</v>
      </c>
      <c r="C31" s="9">
        <v>43500</v>
      </c>
      <c r="D31" s="15">
        <f t="shared" si="0"/>
        <v>43497</v>
      </c>
      <c r="E31" s="15" t="s">
        <v>355</v>
      </c>
      <c r="F31" s="21" t="str">
        <f t="shared" si="1"/>
        <v>éjjel</v>
      </c>
      <c r="G31" s="4">
        <f t="shared" si="2"/>
        <v>4</v>
      </c>
      <c r="H31" s="5">
        <v>0.17708333333333334</v>
      </c>
      <c r="I31" s="4" t="s">
        <v>61</v>
      </c>
      <c r="J31" s="4" t="str">
        <f t="shared" si="3"/>
        <v>Bögöz</v>
      </c>
      <c r="K31" s="4" t="s">
        <v>18</v>
      </c>
      <c r="L31" s="4"/>
      <c r="M31" s="4"/>
      <c r="N31" s="4"/>
      <c r="O31" s="4"/>
      <c r="P31" s="4"/>
      <c r="Q31" s="4" t="s">
        <v>23</v>
      </c>
      <c r="R31" s="4" t="str">
        <f>TEXT("4298977737812773756","0")</f>
        <v>4298977737812770000</v>
      </c>
      <c r="S31" s="6" t="str">
        <f>HYPERLINK("https://www.jotform.com/edit/4298977737812773756","Edit Submission")</f>
        <v>Edit Submission</v>
      </c>
      <c r="T31" s="7">
        <v>0</v>
      </c>
    </row>
    <row r="32" spans="1:20" ht="15">
      <c r="A32" s="3">
        <v>43555.929027777776</v>
      </c>
      <c r="B32" s="4" t="s">
        <v>73</v>
      </c>
      <c r="C32" s="9">
        <v>43500</v>
      </c>
      <c r="D32" s="15">
        <f t="shared" si="0"/>
        <v>43497</v>
      </c>
      <c r="E32" s="15" t="s">
        <v>355</v>
      </c>
      <c r="F32" s="21" t="str">
        <f t="shared" si="1"/>
        <v>éjjel</v>
      </c>
      <c r="G32" s="4">
        <f t="shared" si="2"/>
        <v>4</v>
      </c>
      <c r="H32" s="5">
        <v>0.17847222222222223</v>
      </c>
      <c r="I32" s="4" t="s">
        <v>27</v>
      </c>
      <c r="J32" s="4" t="str">
        <f t="shared" si="3"/>
        <v>Borszék</v>
      </c>
      <c r="K32" s="4" t="s">
        <v>18</v>
      </c>
      <c r="L32" s="4"/>
      <c r="M32" s="4"/>
      <c r="N32" s="4"/>
      <c r="O32" s="4"/>
      <c r="P32" s="4"/>
      <c r="Q32" s="4" t="s">
        <v>23</v>
      </c>
      <c r="R32" s="4" t="str">
        <f>TEXT("4298978687813542719","0")</f>
        <v>4298978687813540000</v>
      </c>
      <c r="S32" s="6" t="str">
        <f>HYPERLINK("https://www.jotform.com/edit/4298978687813542719","Edit Submission")</f>
        <v>Edit Submission</v>
      </c>
      <c r="T32" s="7">
        <v>0</v>
      </c>
    </row>
    <row r="33" spans="1:20" ht="15">
      <c r="A33" s="3">
        <v>43555.942835648151</v>
      </c>
      <c r="B33" s="4" t="s">
        <v>122</v>
      </c>
      <c r="C33" s="9">
        <v>43500</v>
      </c>
      <c r="D33" s="15">
        <f t="shared" si="0"/>
        <v>43497</v>
      </c>
      <c r="E33" s="15" t="s">
        <v>355</v>
      </c>
      <c r="F33" s="21" t="str">
        <f t="shared" si="1"/>
        <v>éjjel</v>
      </c>
      <c r="G33" s="4">
        <f t="shared" si="2"/>
        <v>4</v>
      </c>
      <c r="H33" s="5">
        <v>0.19236111111111112</v>
      </c>
      <c r="I33" s="4" t="s">
        <v>27</v>
      </c>
      <c r="J33" s="4" t="str">
        <f t="shared" si="3"/>
        <v>Borszék</v>
      </c>
      <c r="K33" s="4" t="s">
        <v>18</v>
      </c>
      <c r="L33" s="4" t="s">
        <v>65</v>
      </c>
      <c r="M33" s="4"/>
      <c r="N33" s="4"/>
      <c r="O33" s="6" t="s">
        <v>123</v>
      </c>
      <c r="P33" s="4"/>
      <c r="Q33" s="4" t="s">
        <v>23</v>
      </c>
      <c r="R33" s="4" t="str">
        <f>TEXT("4298990617812914133","0")</f>
        <v>4298990617812910000</v>
      </c>
      <c r="S33" s="6" t="str">
        <f>HYPERLINK("https://www.jotform.com/edit/4298990617812914133","Edit Submission")</f>
        <v>Edit Submission</v>
      </c>
      <c r="T33" s="7">
        <v>0</v>
      </c>
    </row>
    <row r="34" spans="1:20" ht="15">
      <c r="A34" s="3"/>
      <c r="B34" s="4" t="s">
        <v>15</v>
      </c>
      <c r="C34" s="4" t="s">
        <v>124</v>
      </c>
      <c r="D34" s="15">
        <f t="shared" si="0"/>
        <v>43647</v>
      </c>
      <c r="E34" s="15" t="s">
        <v>353</v>
      </c>
      <c r="F34" s="21" t="str">
        <f t="shared" si="1"/>
        <v>délután</v>
      </c>
      <c r="G34" s="4">
        <f t="shared" si="2"/>
        <v>13</v>
      </c>
      <c r="H34" s="5">
        <v>0.54166666666666663</v>
      </c>
      <c r="I34" s="4" t="s">
        <v>93</v>
      </c>
      <c r="J34" s="4" t="str">
        <f t="shared" si="3"/>
        <v>Szépviz</v>
      </c>
      <c r="K34" s="4" t="s">
        <v>125</v>
      </c>
      <c r="L34" s="4" t="s">
        <v>82</v>
      </c>
      <c r="M34" s="4" t="s">
        <v>30</v>
      </c>
      <c r="N34" s="4" t="s">
        <v>77</v>
      </c>
      <c r="O34" s="4"/>
      <c r="P34" s="4" t="s">
        <v>126</v>
      </c>
      <c r="Q34" s="4" t="s">
        <v>127</v>
      </c>
      <c r="R34" s="4" t="str">
        <f>TEXT("4299160649022593649","0")</f>
        <v>4299160649022590000</v>
      </c>
      <c r="S34" s="6" t="str">
        <f>HYPERLINK("https://www.jotform.com/edit/4299160649022593649","Edit Submission")</f>
        <v>Edit Submission</v>
      </c>
      <c r="T34" s="7"/>
    </row>
    <row r="35" spans="1:20" ht="15">
      <c r="A35" s="3"/>
      <c r="B35" s="4" t="s">
        <v>15</v>
      </c>
      <c r="C35" s="4" t="s">
        <v>128</v>
      </c>
      <c r="D35" s="15">
        <f t="shared" si="0"/>
        <v>43525</v>
      </c>
      <c r="E35" s="15" t="s">
        <v>351</v>
      </c>
      <c r="F35" s="21" t="str">
        <f t="shared" si="1"/>
        <v>délután</v>
      </c>
      <c r="G35" s="4">
        <f t="shared" si="2"/>
        <v>16</v>
      </c>
      <c r="H35" s="5">
        <v>0.66666666666666663</v>
      </c>
      <c r="I35" s="4" t="s">
        <v>129</v>
      </c>
      <c r="J35" s="4" t="str">
        <f t="shared" si="3"/>
        <v>Csíkkozmás</v>
      </c>
      <c r="K35" s="4" t="s">
        <v>130</v>
      </c>
      <c r="L35" s="4" t="s">
        <v>131</v>
      </c>
      <c r="M35" s="4" t="s">
        <v>30</v>
      </c>
      <c r="N35" s="4"/>
      <c r="O35" s="4"/>
      <c r="P35" s="4"/>
      <c r="Q35" s="4" t="s">
        <v>132</v>
      </c>
      <c r="R35" s="4" t="str">
        <f>TEXT("4299214974026189818","0")</f>
        <v>4299214974026180000</v>
      </c>
      <c r="S35" s="6" t="str">
        <f>HYPERLINK("https://www.jotform.com/edit/4299214974026189818","Edit Submission")</f>
        <v>Edit Submission</v>
      </c>
      <c r="T35" s="7"/>
    </row>
    <row r="36" spans="1:20" ht="15">
      <c r="A36" s="3">
        <v>43556.34946759259</v>
      </c>
      <c r="B36" s="4" t="s">
        <v>15</v>
      </c>
      <c r="C36" s="9">
        <v>43469</v>
      </c>
      <c r="D36" s="15">
        <f t="shared" si="0"/>
        <v>43466</v>
      </c>
      <c r="E36" s="15" t="s">
        <v>356</v>
      </c>
      <c r="F36" s="21" t="str">
        <f t="shared" si="1"/>
        <v>délután</v>
      </c>
      <c r="G36" s="4">
        <f t="shared" si="2"/>
        <v>16</v>
      </c>
      <c r="H36" s="5">
        <v>0.68125000000000002</v>
      </c>
      <c r="I36" s="4" t="s">
        <v>133</v>
      </c>
      <c r="J36" s="4" t="str">
        <f t="shared" si="3"/>
        <v>Torja</v>
      </c>
      <c r="K36" s="4" t="s">
        <v>134</v>
      </c>
      <c r="L36" s="4" t="s">
        <v>29</v>
      </c>
      <c r="M36" s="4" t="s">
        <v>30</v>
      </c>
      <c r="N36" s="4"/>
      <c r="O36" s="4"/>
      <c r="P36" s="4"/>
      <c r="Q36" s="4" t="s">
        <v>135</v>
      </c>
      <c r="R36" s="4" t="str">
        <f>TEXT("4299341944935806733","0")</f>
        <v>4299341944935800000</v>
      </c>
      <c r="S36" s="6" t="str">
        <f>HYPERLINK("https://www.jotform.com/edit/4299341944935806733","Edit Submission")</f>
        <v>Edit Submission</v>
      </c>
      <c r="T36" s="7"/>
    </row>
    <row r="37" spans="1:20" ht="15">
      <c r="A37" s="3">
        <v>43557.106736111113</v>
      </c>
      <c r="B37" s="4" t="s">
        <v>15</v>
      </c>
      <c r="C37" s="4" t="s">
        <v>136</v>
      </c>
      <c r="D37" s="15">
        <f t="shared" si="0"/>
        <v>43525</v>
      </c>
      <c r="E37" s="15" t="s">
        <v>351</v>
      </c>
      <c r="F37" s="21" t="str">
        <f t="shared" si="1"/>
        <v>éjjel</v>
      </c>
      <c r="G37" s="4">
        <f t="shared" si="2"/>
        <v>6</v>
      </c>
      <c r="H37" s="5">
        <v>0.28472222222222221</v>
      </c>
      <c r="I37" s="4" t="s">
        <v>137</v>
      </c>
      <c r="J37" s="4" t="str">
        <f t="shared" si="3"/>
        <v>Kézdiszentkereszt</v>
      </c>
      <c r="K37" s="4" t="s">
        <v>138</v>
      </c>
      <c r="L37" s="4" t="s">
        <v>29</v>
      </c>
      <c r="M37" s="4" t="s">
        <v>66</v>
      </c>
      <c r="N37" s="4"/>
      <c r="O37" s="4"/>
      <c r="P37" s="4"/>
      <c r="Q37" s="4" t="s">
        <v>139</v>
      </c>
      <c r="R37" s="4" t="str">
        <f>TEXT("4299996216455874589","0")</f>
        <v>4299996216455870000</v>
      </c>
      <c r="S37" s="6" t="str">
        <f>HYPERLINK("https://www.jotform.com/edit/4299996216455874589","Edit Submission")</f>
        <v>Edit Submission</v>
      </c>
      <c r="T37" s="7"/>
    </row>
    <row r="38" spans="1:20" ht="15">
      <c r="A38" s="3">
        <v>43557.505335648151</v>
      </c>
      <c r="B38" s="4" t="s">
        <v>15</v>
      </c>
      <c r="C38" s="9">
        <v>43526</v>
      </c>
      <c r="D38" s="15">
        <f t="shared" si="0"/>
        <v>43525</v>
      </c>
      <c r="E38" s="15" t="s">
        <v>351</v>
      </c>
      <c r="F38" s="21" t="str">
        <f t="shared" si="1"/>
        <v>este</v>
      </c>
      <c r="G38" s="4">
        <f t="shared" si="2"/>
        <v>20</v>
      </c>
      <c r="H38" s="5">
        <v>0.8354166666666667</v>
      </c>
      <c r="I38" s="4" t="s">
        <v>140</v>
      </c>
      <c r="J38" s="4" t="str">
        <f t="shared" si="3"/>
        <v>Székelykövesd</v>
      </c>
      <c r="K38" s="4" t="s">
        <v>18</v>
      </c>
      <c r="L38" s="4" t="s">
        <v>29</v>
      </c>
      <c r="M38" s="4"/>
      <c r="N38" s="4"/>
      <c r="O38" s="4"/>
      <c r="P38" s="4"/>
      <c r="Q38" s="4" t="s">
        <v>141</v>
      </c>
      <c r="R38" s="4" t="str">
        <f>TEXT("4300340611487350412","0")</f>
        <v>4300340611487350000</v>
      </c>
      <c r="S38" s="6" t="str">
        <f>HYPERLINK("https://www.jotform.com/edit/4300340611487350412","Edit Submission")</f>
        <v>Edit Submission</v>
      </c>
      <c r="T38" s="7"/>
    </row>
    <row r="39" spans="1:20" ht="15">
      <c r="A39" s="3">
        <v>43557.572233796294</v>
      </c>
      <c r="B39" s="4" t="s">
        <v>15</v>
      </c>
      <c r="C39" s="4" t="s">
        <v>142</v>
      </c>
      <c r="D39" s="15">
        <f t="shared" si="0"/>
        <v>43800</v>
      </c>
      <c r="E39" s="15" t="s">
        <v>352</v>
      </c>
      <c r="F39" s="21" t="str">
        <f t="shared" si="1"/>
        <v>éjjel</v>
      </c>
      <c r="G39" s="4">
        <f t="shared" si="2"/>
        <v>6</v>
      </c>
      <c r="H39" s="5">
        <v>0.25555555555555554</v>
      </c>
      <c r="I39" s="4" t="s">
        <v>143</v>
      </c>
      <c r="J39" s="4" t="str">
        <f t="shared" si="3"/>
        <v>Szentegyháza</v>
      </c>
      <c r="K39" s="4" t="s">
        <v>144</v>
      </c>
      <c r="L39" s="4" t="s">
        <v>29</v>
      </c>
      <c r="M39" s="4" t="s">
        <v>30</v>
      </c>
      <c r="N39" s="4"/>
      <c r="O39" s="4"/>
      <c r="P39" s="4" t="s">
        <v>145</v>
      </c>
      <c r="Q39" s="4" t="s">
        <v>146</v>
      </c>
      <c r="R39" s="4" t="str">
        <f>TEXT("4300398415524259557","0")</f>
        <v>4300398415524250000</v>
      </c>
      <c r="S39" s="6" t="str">
        <f>HYPERLINK("https://www.jotform.com/edit/4300398415524259557","Edit Submission")</f>
        <v>Edit Submission</v>
      </c>
      <c r="T39" s="7"/>
    </row>
    <row r="40" spans="1:20" ht="15">
      <c r="A40" s="3">
        <v>43558.183877314812</v>
      </c>
      <c r="B40" s="4" t="s">
        <v>122</v>
      </c>
      <c r="C40" s="4" t="s">
        <v>147</v>
      </c>
      <c r="D40" s="15">
        <f t="shared" si="0"/>
        <v>43678</v>
      </c>
      <c r="E40" s="15" t="s">
        <v>354</v>
      </c>
      <c r="F40" s="21" t="str">
        <f t="shared" si="1"/>
        <v>délután</v>
      </c>
      <c r="G40" s="4">
        <f t="shared" si="2"/>
        <v>13</v>
      </c>
      <c r="H40" s="5">
        <v>0.5625</v>
      </c>
      <c r="I40" s="4" t="s">
        <v>148</v>
      </c>
      <c r="J40" s="4" t="str">
        <f t="shared" si="3"/>
        <v>Feltorja</v>
      </c>
      <c r="K40" s="4" t="s">
        <v>149</v>
      </c>
      <c r="L40" s="4" t="s">
        <v>150</v>
      </c>
      <c r="M40" s="4" t="s">
        <v>30</v>
      </c>
      <c r="N40" s="4"/>
      <c r="O40" s="4"/>
      <c r="P40" s="4" t="s">
        <v>151</v>
      </c>
      <c r="Q40" s="4" t="s">
        <v>152</v>
      </c>
      <c r="R40" s="4" t="str">
        <f>TEXT("4300926876463430367","0")</f>
        <v>4300926876463430000</v>
      </c>
      <c r="S40" s="6" t="str">
        <f>HYPERLINK("https://www.jotform.com/edit/4300926876463430367","Edit Submission")</f>
        <v>Edit Submission</v>
      </c>
      <c r="T40" s="7"/>
    </row>
    <row r="41" spans="1:20" ht="15">
      <c r="A41" s="3">
        <v>43558.18478009259</v>
      </c>
      <c r="B41" s="4" t="s">
        <v>15</v>
      </c>
      <c r="C41" s="4" t="s">
        <v>147</v>
      </c>
      <c r="D41" s="15">
        <f t="shared" si="0"/>
        <v>43678</v>
      </c>
      <c r="E41" s="15" t="s">
        <v>354</v>
      </c>
      <c r="F41" s="21" t="str">
        <f t="shared" si="1"/>
        <v>reggel</v>
      </c>
      <c r="G41" s="4">
        <f t="shared" si="2"/>
        <v>12</v>
      </c>
      <c r="H41" s="5">
        <v>0.51736111111111116</v>
      </c>
      <c r="I41" s="4" t="s">
        <v>148</v>
      </c>
      <c r="J41" s="4" t="str">
        <f t="shared" si="3"/>
        <v>Feltorja</v>
      </c>
      <c r="K41" s="4" t="s">
        <v>153</v>
      </c>
      <c r="L41" s="4" t="s">
        <v>29</v>
      </c>
      <c r="M41" s="4" t="s">
        <v>30</v>
      </c>
      <c r="N41" s="4"/>
      <c r="O41" s="4"/>
      <c r="P41" s="4"/>
      <c r="Q41" s="4" t="s">
        <v>152</v>
      </c>
      <c r="R41" s="4" t="str">
        <f>TEXT("4300927656463810098","0")</f>
        <v>4300927656463810000</v>
      </c>
      <c r="S41" s="6" t="str">
        <f>HYPERLINK("https://www.jotform.com/edit/4300927656463810098","Edit Submission")</f>
        <v>Edit Submission</v>
      </c>
      <c r="T41" s="7"/>
    </row>
    <row r="42" spans="1:20" ht="15">
      <c r="A42" s="3">
        <v>43558.314675925925</v>
      </c>
      <c r="B42" s="4" t="s">
        <v>15</v>
      </c>
      <c r="C42" s="4" t="s">
        <v>154</v>
      </c>
      <c r="D42" s="15">
        <f t="shared" si="0"/>
        <v>43617</v>
      </c>
      <c r="E42" s="15" t="s">
        <v>357</v>
      </c>
      <c r="F42" s="21" t="str">
        <f t="shared" si="1"/>
        <v>délután</v>
      </c>
      <c r="G42" s="4">
        <f t="shared" si="2"/>
        <v>18</v>
      </c>
      <c r="H42" s="5">
        <v>0.75</v>
      </c>
      <c r="I42" s="4" t="s">
        <v>155</v>
      </c>
      <c r="J42" s="4" t="str">
        <f t="shared" si="3"/>
        <v>Hargitafürdő</v>
      </c>
      <c r="K42" s="4" t="s">
        <v>156</v>
      </c>
      <c r="L42" s="4" t="s">
        <v>29</v>
      </c>
      <c r="M42" s="4" t="s">
        <v>30</v>
      </c>
      <c r="N42" s="4"/>
      <c r="O42" s="4"/>
      <c r="P42" s="4" t="s">
        <v>157</v>
      </c>
      <c r="Q42" s="4" t="s">
        <v>158</v>
      </c>
      <c r="R42" s="4" t="str">
        <f>TEXT("4301039882762487984","0")</f>
        <v>4301039882762480000</v>
      </c>
      <c r="S42" s="6" t="str">
        <f>HYPERLINK("https://www.jotform.com/edit/4301039882762487984","Edit Submission")</f>
        <v>Edit Submission</v>
      </c>
      <c r="T42" s="7"/>
    </row>
    <row r="43" spans="1:20" ht="15">
      <c r="A43" s="3">
        <v>43558.395312499997</v>
      </c>
      <c r="B43" s="4" t="s">
        <v>15</v>
      </c>
      <c r="C43" s="9">
        <v>43500</v>
      </c>
      <c r="D43" s="15">
        <f t="shared" si="0"/>
        <v>43497</v>
      </c>
      <c r="E43" s="15" t="s">
        <v>355</v>
      </c>
      <c r="F43" s="21" t="str">
        <f t="shared" si="1"/>
        <v>este</v>
      </c>
      <c r="G43" s="4">
        <f t="shared" si="2"/>
        <v>19</v>
      </c>
      <c r="H43" s="5">
        <v>0.79861111111111116</v>
      </c>
      <c r="I43" s="4" t="s">
        <v>159</v>
      </c>
      <c r="J43" s="4" t="str">
        <f t="shared" si="3"/>
        <v>Bardoc</v>
      </c>
      <c r="K43" s="4" t="s">
        <v>18</v>
      </c>
      <c r="L43" s="4" t="s">
        <v>65</v>
      </c>
      <c r="M43" s="4" t="s">
        <v>66</v>
      </c>
      <c r="N43" s="4" t="s">
        <v>77</v>
      </c>
      <c r="O43" s="4"/>
      <c r="P43" s="4"/>
      <c r="Q43" s="4" t="s">
        <v>160</v>
      </c>
      <c r="R43" s="4" t="str">
        <f>TEXT("4301109542616258496","0")</f>
        <v>4301109542616250000</v>
      </c>
      <c r="S43" s="6" t="str">
        <f>HYPERLINK("https://www.jotform.com/edit/4301109542616258496","Edit Submission")</f>
        <v>Edit Submission</v>
      </c>
      <c r="T43" s="7"/>
    </row>
    <row r="44" spans="1:20" ht="15">
      <c r="A44" s="3">
        <v>43558.543553240743</v>
      </c>
      <c r="B44" s="4" t="s">
        <v>26</v>
      </c>
      <c r="C44" s="9">
        <v>43712</v>
      </c>
      <c r="D44" s="15">
        <f t="shared" si="0"/>
        <v>43709</v>
      </c>
      <c r="E44" s="15" t="s">
        <v>358</v>
      </c>
      <c r="F44" s="21" t="str">
        <f t="shared" si="1"/>
        <v>este</v>
      </c>
      <c r="G44" s="4">
        <f t="shared" si="2"/>
        <v>19</v>
      </c>
      <c r="H44" s="5">
        <v>0.79305555555555551</v>
      </c>
      <c r="I44" s="4" t="s">
        <v>161</v>
      </c>
      <c r="J44" s="4" t="str">
        <f t="shared" si="3"/>
        <v>Abásfalva</v>
      </c>
      <c r="K44" s="4" t="s">
        <v>162</v>
      </c>
      <c r="L44" s="4" t="s">
        <v>65</v>
      </c>
      <c r="M44" s="4" t="s">
        <v>30</v>
      </c>
      <c r="N44" s="4" t="s">
        <v>25</v>
      </c>
      <c r="O44" s="6" t="s">
        <v>163</v>
      </c>
      <c r="P44" s="4" t="s">
        <v>164</v>
      </c>
      <c r="Q44" s="4" t="s">
        <v>23</v>
      </c>
      <c r="R44" s="4" t="str">
        <f>TEXT("4301237637817404438","0")</f>
        <v>4301237637817400000</v>
      </c>
      <c r="S44" s="6" t="str">
        <f>HYPERLINK("https://www.jotform.com/edit/4301237637817404438","Edit Submission")</f>
        <v>Edit Submission</v>
      </c>
      <c r="T44" s="7">
        <v>0</v>
      </c>
    </row>
    <row r="45" spans="1:20" ht="15">
      <c r="A45" s="3">
        <v>43558.548472222225</v>
      </c>
      <c r="B45" s="4" t="s">
        <v>15</v>
      </c>
      <c r="C45" s="9">
        <v>42125</v>
      </c>
      <c r="D45" s="15">
        <f t="shared" si="0"/>
        <v>43586</v>
      </c>
      <c r="E45" s="15" t="s">
        <v>359</v>
      </c>
      <c r="F45" s="21" t="str">
        <f t="shared" si="1"/>
        <v>este</v>
      </c>
      <c r="G45" s="4">
        <f t="shared" si="2"/>
        <v>20</v>
      </c>
      <c r="H45" s="5">
        <v>0.83472222222222225</v>
      </c>
      <c r="I45" s="4" t="s">
        <v>165</v>
      </c>
      <c r="J45" s="4" t="str">
        <f t="shared" si="3"/>
        <v>Lövéte</v>
      </c>
      <c r="K45" s="4" t="s">
        <v>166</v>
      </c>
      <c r="L45" s="4" t="s">
        <v>29</v>
      </c>
      <c r="M45" s="4" t="s">
        <v>37</v>
      </c>
      <c r="N45" s="4"/>
      <c r="O45" s="4"/>
      <c r="P45" s="4"/>
      <c r="Q45" s="4" t="s">
        <v>167</v>
      </c>
      <c r="R45" s="4" t="str">
        <f>TEXT("4301241881578914608","0")</f>
        <v>4301241881578910000</v>
      </c>
      <c r="S45" s="6" t="str">
        <f>HYPERLINK("https://www.jotform.com/edit/4301241881578914608","Edit Submission")</f>
        <v>Edit Submission</v>
      </c>
      <c r="T45" s="7"/>
    </row>
    <row r="46" spans="1:20" ht="15">
      <c r="A46" s="3">
        <v>43558.571342592593</v>
      </c>
      <c r="B46" s="4" t="s">
        <v>15</v>
      </c>
      <c r="C46" s="9">
        <v>42560</v>
      </c>
      <c r="D46" s="15">
        <f t="shared" si="0"/>
        <v>43647</v>
      </c>
      <c r="E46" s="15" t="s">
        <v>353</v>
      </c>
      <c r="F46" s="21" t="str">
        <f t="shared" si="1"/>
        <v>este</v>
      </c>
      <c r="G46" s="4">
        <f t="shared" si="2"/>
        <v>20</v>
      </c>
      <c r="H46" s="5">
        <v>0.85624999999999996</v>
      </c>
      <c r="I46" s="4" t="s">
        <v>165</v>
      </c>
      <c r="J46" s="4" t="str">
        <f t="shared" si="3"/>
        <v>Lövéte</v>
      </c>
      <c r="K46" s="4" t="s">
        <v>18</v>
      </c>
      <c r="L46" s="4" t="s">
        <v>29</v>
      </c>
      <c r="M46" s="4" t="s">
        <v>30</v>
      </c>
      <c r="N46" s="4"/>
      <c r="O46" s="4"/>
      <c r="P46" s="4"/>
      <c r="Q46" s="4" t="s">
        <v>167</v>
      </c>
      <c r="R46" s="4" t="str">
        <f>TEXT("4301261631574684320","0")</f>
        <v>4301261631574680000</v>
      </c>
      <c r="S46" s="6" t="str">
        <f>HYPERLINK("https://www.jotform.com/edit/4301261631574684320","Edit Submission")</f>
        <v>Edit Submission</v>
      </c>
      <c r="T46" s="7"/>
    </row>
    <row r="47" spans="1:20" ht="15">
      <c r="A47" s="3">
        <v>43559.10050925926</v>
      </c>
      <c r="B47" s="4" t="s">
        <v>15</v>
      </c>
      <c r="C47" s="9">
        <v>43528</v>
      </c>
      <c r="D47" s="15">
        <f t="shared" si="0"/>
        <v>43525</v>
      </c>
      <c r="E47" s="15" t="s">
        <v>351</v>
      </c>
      <c r="F47" s="21" t="str">
        <f t="shared" si="1"/>
        <v>este</v>
      </c>
      <c r="G47" s="4">
        <f t="shared" si="2"/>
        <v>19</v>
      </c>
      <c r="H47" s="5">
        <v>0.79166666666666663</v>
      </c>
      <c r="I47" s="4" t="s">
        <v>168</v>
      </c>
      <c r="J47" s="4" t="str">
        <f t="shared" si="3"/>
        <v>Bözöd</v>
      </c>
      <c r="K47" s="4" t="s">
        <v>169</v>
      </c>
      <c r="L47" s="4" t="s">
        <v>29</v>
      </c>
      <c r="M47" s="4" t="s">
        <v>30</v>
      </c>
      <c r="N47" s="4"/>
      <c r="O47" s="4"/>
      <c r="P47" s="4"/>
      <c r="Q47" s="4" t="s">
        <v>170</v>
      </c>
      <c r="R47" s="4" t="str">
        <f>TEXT("4301718843513045955","0")</f>
        <v>4301718843513040000</v>
      </c>
      <c r="S47" s="6" t="str">
        <f>HYPERLINK("https://www.jotform.com/edit/4301718843513045955","Edit Submission")</f>
        <v>Edit Submission</v>
      </c>
      <c r="T47" s="7"/>
    </row>
    <row r="48" spans="1:20" ht="15">
      <c r="A48" s="3">
        <v>43559.151898148149</v>
      </c>
      <c r="B48" s="4" t="s">
        <v>15</v>
      </c>
      <c r="C48" s="4" t="s">
        <v>171</v>
      </c>
      <c r="D48" s="15">
        <f t="shared" si="0"/>
        <v>43739</v>
      </c>
      <c r="E48" s="15" t="s">
        <v>360</v>
      </c>
      <c r="F48" s="21" t="str">
        <f t="shared" si="1"/>
        <v>éjjel</v>
      </c>
      <c r="G48" s="4">
        <f t="shared" si="2"/>
        <v>6</v>
      </c>
      <c r="H48" s="5">
        <v>0.2638888888888889</v>
      </c>
      <c r="I48" s="4" t="s">
        <v>172</v>
      </c>
      <c r="J48" s="4" t="str">
        <f t="shared" si="3"/>
        <v>Kiskászon</v>
      </c>
      <c r="K48" s="4" t="s">
        <v>173</v>
      </c>
      <c r="L48" s="4" t="s">
        <v>29</v>
      </c>
      <c r="M48" s="4" t="s">
        <v>66</v>
      </c>
      <c r="N48" s="4"/>
      <c r="O48" s="4"/>
      <c r="P48" s="4" t="s">
        <v>174</v>
      </c>
      <c r="Q48" s="4" t="s">
        <v>175</v>
      </c>
      <c r="R48" s="4" t="str">
        <f>TEXT("4301763248129711849","0")</f>
        <v>4301763248129710000</v>
      </c>
      <c r="S48" s="6" t="str">
        <f>HYPERLINK("https://www.jotform.com/edit/4301763248129711849","Edit Submission")</f>
        <v>Edit Submission</v>
      </c>
      <c r="T48" s="7"/>
    </row>
    <row r="49" spans="1:20" ht="15">
      <c r="A49" s="3">
        <v>43559.178865740738</v>
      </c>
      <c r="B49" s="4" t="s">
        <v>15</v>
      </c>
      <c r="C49" s="4" t="s">
        <v>176</v>
      </c>
      <c r="D49" s="15">
        <f t="shared" si="0"/>
        <v>43525</v>
      </c>
      <c r="E49" s="15" t="s">
        <v>351</v>
      </c>
      <c r="F49" s="21" t="str">
        <f t="shared" si="1"/>
        <v>éjjel</v>
      </c>
      <c r="G49" s="4">
        <f t="shared" si="2"/>
        <v>6</v>
      </c>
      <c r="H49" s="5">
        <v>0.27152777777777776</v>
      </c>
      <c r="I49" s="4" t="s">
        <v>177</v>
      </c>
      <c r="J49" s="4" t="str">
        <f t="shared" si="3"/>
        <v>Sepsiszentgyörgy</v>
      </c>
      <c r="K49" s="4" t="s">
        <v>18</v>
      </c>
      <c r="L49" s="4" t="s">
        <v>29</v>
      </c>
      <c r="M49" s="4"/>
      <c r="N49" s="4"/>
      <c r="O49" s="6" t="s">
        <v>178</v>
      </c>
      <c r="P49" s="4" t="s">
        <v>179</v>
      </c>
      <c r="Q49" s="4" t="s">
        <v>180</v>
      </c>
      <c r="R49" s="4" t="str">
        <f>TEXT("4301786548619258136","0")</f>
        <v>4301786548619250000</v>
      </c>
      <c r="S49" s="6" t="str">
        <f>HYPERLINK("https://www.jotform.com/edit/4301786548619258136","Edit Submission")</f>
        <v>Edit Submission</v>
      </c>
      <c r="T49" s="7"/>
    </row>
    <row r="50" spans="1:20" ht="15">
      <c r="A50" s="3">
        <v>43559.195486111108</v>
      </c>
      <c r="B50" s="4" t="s">
        <v>15</v>
      </c>
      <c r="C50" s="9">
        <v>43135</v>
      </c>
      <c r="D50" s="15">
        <f t="shared" si="0"/>
        <v>43497</v>
      </c>
      <c r="E50" s="15" t="s">
        <v>355</v>
      </c>
      <c r="F50" s="21" t="str">
        <f t="shared" si="1"/>
        <v>délután</v>
      </c>
      <c r="G50" s="4">
        <f t="shared" si="2"/>
        <v>16</v>
      </c>
      <c r="H50" s="5">
        <v>0.67569444444444449</v>
      </c>
      <c r="I50" s="4" t="s">
        <v>181</v>
      </c>
      <c r="J50" s="4" t="str">
        <f t="shared" si="3"/>
        <v>Bölön</v>
      </c>
      <c r="K50" s="4" t="s">
        <v>182</v>
      </c>
      <c r="L50" s="4" t="s">
        <v>91</v>
      </c>
      <c r="M50" s="4" t="s">
        <v>43</v>
      </c>
      <c r="N50" s="4" t="s">
        <v>183</v>
      </c>
      <c r="O50" s="6" t="s">
        <v>184</v>
      </c>
      <c r="P50" s="4"/>
      <c r="Q50" s="4" t="s">
        <v>185</v>
      </c>
      <c r="R50" s="4" t="str">
        <f>TEXT("4301800901838310542","0")</f>
        <v>4301800901838310000</v>
      </c>
      <c r="S50" s="6" t="str">
        <f>HYPERLINK("https://www.jotform.com/edit/4301800901838310542","Edit Submission")</f>
        <v>Edit Submission</v>
      </c>
      <c r="T50" s="7"/>
    </row>
    <row r="51" spans="1:20" ht="15">
      <c r="A51" s="3">
        <v>43559.207418981481</v>
      </c>
      <c r="B51" s="4" t="s">
        <v>15</v>
      </c>
      <c r="C51" s="4" t="s">
        <v>69</v>
      </c>
      <c r="D51" s="15">
        <f t="shared" si="0"/>
        <v>43525</v>
      </c>
      <c r="E51" s="15" t="s">
        <v>351</v>
      </c>
      <c r="F51" s="21" t="str">
        <f t="shared" si="1"/>
        <v>reggel</v>
      </c>
      <c r="G51" s="4">
        <f t="shared" si="2"/>
        <v>11</v>
      </c>
      <c r="H51" s="5">
        <v>0.48958333333333331</v>
      </c>
      <c r="I51" s="4" t="s">
        <v>181</v>
      </c>
      <c r="J51" s="4" t="str">
        <f t="shared" si="3"/>
        <v>Bölön</v>
      </c>
      <c r="K51" s="4" t="s">
        <v>186</v>
      </c>
      <c r="L51" s="4" t="s">
        <v>65</v>
      </c>
      <c r="M51" s="4" t="s">
        <v>43</v>
      </c>
      <c r="N51" s="4" t="s">
        <v>183</v>
      </c>
      <c r="O51" s="4"/>
      <c r="P51" s="4"/>
      <c r="Q51" s="4" t="s">
        <v>185</v>
      </c>
      <c r="R51" s="4" t="str">
        <f>TEXT("4301811211835054085","0")</f>
        <v>4301811211835050000</v>
      </c>
      <c r="S51" s="6" t="str">
        <f>HYPERLINK("https://www.jotform.com/edit/4301811211835054085","Edit Submission")</f>
        <v>Edit Submission</v>
      </c>
      <c r="T51" s="7"/>
    </row>
    <row r="52" spans="1:20" ht="15">
      <c r="A52" s="3">
        <v>43560.150740740741</v>
      </c>
      <c r="B52" s="4" t="s">
        <v>15</v>
      </c>
      <c r="C52" s="9">
        <v>43559</v>
      </c>
      <c r="D52" s="15">
        <f t="shared" si="0"/>
        <v>43556</v>
      </c>
      <c r="E52" s="15" t="s">
        <v>361</v>
      </c>
      <c r="F52" s="21" t="str">
        <f t="shared" si="1"/>
        <v>reggel</v>
      </c>
      <c r="G52" s="4">
        <f t="shared" si="2"/>
        <v>9</v>
      </c>
      <c r="H52" s="5">
        <v>0.39791666666666664</v>
      </c>
      <c r="I52" s="4" t="s">
        <v>133</v>
      </c>
      <c r="J52" s="4" t="str">
        <f t="shared" si="3"/>
        <v>Torja</v>
      </c>
      <c r="K52" s="10" t="s">
        <v>187</v>
      </c>
      <c r="L52" s="4" t="s">
        <v>188</v>
      </c>
      <c r="M52" s="4" t="s">
        <v>30</v>
      </c>
      <c r="N52" s="4"/>
      <c r="O52" s="4"/>
      <c r="P52" s="4" t="s">
        <v>189</v>
      </c>
      <c r="Q52" s="4" t="s">
        <v>190</v>
      </c>
      <c r="R52" s="4" t="str">
        <f>TEXT("4302626242613199149","0")</f>
        <v>4302626242613190000</v>
      </c>
      <c r="S52" s="6" t="str">
        <f>HYPERLINK("https://www.jotform.com/edit/4302626242613199149","Edit Submission")</f>
        <v>Edit Submission</v>
      </c>
      <c r="T52" s="7"/>
    </row>
    <row r="53" spans="1:20" ht="15">
      <c r="A53" s="3">
        <v>43560.186030092591</v>
      </c>
      <c r="B53" s="4" t="s">
        <v>15</v>
      </c>
      <c r="C53" s="9">
        <v>43442</v>
      </c>
      <c r="D53" s="15">
        <f t="shared" si="0"/>
        <v>43800</v>
      </c>
      <c r="E53" s="15" t="s">
        <v>352</v>
      </c>
      <c r="F53" s="21" t="str">
        <f t="shared" si="1"/>
        <v>reggel</v>
      </c>
      <c r="G53" s="4">
        <f t="shared" si="2"/>
        <v>7</v>
      </c>
      <c r="H53" s="5">
        <v>0.32291666666666669</v>
      </c>
      <c r="I53" s="4" t="s">
        <v>191</v>
      </c>
      <c r="J53" s="4" t="str">
        <f t="shared" si="3"/>
        <v>Abafája</v>
      </c>
      <c r="K53" s="4" t="s">
        <v>192</v>
      </c>
      <c r="L53" s="4" t="s">
        <v>29</v>
      </c>
      <c r="M53" s="4" t="s">
        <v>30</v>
      </c>
      <c r="N53" s="4"/>
      <c r="O53" s="6" t="s">
        <v>193</v>
      </c>
      <c r="P53" s="4" t="s">
        <v>194</v>
      </c>
      <c r="Q53" s="4" t="s">
        <v>195</v>
      </c>
      <c r="R53" s="4" t="str">
        <f>TEXT("4302656737424756701","0")</f>
        <v>4302656737424750000</v>
      </c>
      <c r="S53" s="6" t="str">
        <f>HYPERLINK("https://www.jotform.com/edit/4302656737424756701","Edit Submission")</f>
        <v>Edit Submission</v>
      </c>
      <c r="T53" s="7"/>
    </row>
    <row r="54" spans="1:20" ht="15">
      <c r="A54" s="3">
        <v>43560.297997685186</v>
      </c>
      <c r="B54" s="4" t="s">
        <v>122</v>
      </c>
      <c r="C54" s="9">
        <v>43045</v>
      </c>
      <c r="D54" s="15">
        <f t="shared" si="0"/>
        <v>43770</v>
      </c>
      <c r="E54" s="15" t="s">
        <v>362</v>
      </c>
      <c r="F54" s="21" t="str">
        <f t="shared" si="1"/>
        <v>délután</v>
      </c>
      <c r="G54" s="4">
        <f t="shared" si="2"/>
        <v>15</v>
      </c>
      <c r="H54" s="5">
        <v>0.62986111111111109</v>
      </c>
      <c r="I54" s="4" t="s">
        <v>196</v>
      </c>
      <c r="J54" s="4" t="str">
        <f t="shared" si="3"/>
        <v>Székelykál</v>
      </c>
      <c r="K54" s="4" t="s">
        <v>18</v>
      </c>
      <c r="L54" s="4" t="s">
        <v>29</v>
      </c>
      <c r="M54" s="4"/>
      <c r="N54" s="4"/>
      <c r="O54" s="6" t="s">
        <v>197</v>
      </c>
      <c r="P54" s="6" t="s">
        <v>198</v>
      </c>
      <c r="Q54" s="4" t="s">
        <v>199</v>
      </c>
      <c r="R54" s="4" t="str">
        <f>TEXT("4302753479514659244","0")</f>
        <v>4302753479514650000</v>
      </c>
      <c r="S54" s="6" t="str">
        <f>HYPERLINK("https://www.jotform.com/edit/4302753479514659244","Edit Submission")</f>
        <v>Edit Submission</v>
      </c>
      <c r="T54" s="7"/>
    </row>
    <row r="55" spans="1:20" ht="15">
      <c r="A55" s="3">
        <v>43562.394930555558</v>
      </c>
      <c r="B55" s="4" t="s">
        <v>15</v>
      </c>
      <c r="C55" s="9">
        <v>43528</v>
      </c>
      <c r="D55" s="15">
        <f t="shared" si="0"/>
        <v>43525</v>
      </c>
      <c r="E55" s="15" t="s">
        <v>351</v>
      </c>
      <c r="F55" s="21" t="str">
        <f t="shared" si="1"/>
        <v>este</v>
      </c>
      <c r="G55" s="4">
        <f t="shared" si="2"/>
        <v>19</v>
      </c>
      <c r="H55" s="5">
        <v>0.79166666666666663</v>
      </c>
      <c r="I55" s="4" t="s">
        <v>41</v>
      </c>
      <c r="J55" s="4" t="str">
        <f t="shared" si="3"/>
        <v>Tusnádfürdő</v>
      </c>
      <c r="K55" s="4" t="s">
        <v>200</v>
      </c>
      <c r="L55" s="4" t="s">
        <v>29</v>
      </c>
      <c r="M55" s="4" t="s">
        <v>30</v>
      </c>
      <c r="N55" s="4"/>
      <c r="O55" s="4"/>
      <c r="P55" s="4" t="s">
        <v>201</v>
      </c>
      <c r="Q55" s="4" t="s">
        <v>202</v>
      </c>
      <c r="R55" s="4" t="str">
        <f>TEXT("4304565221027567769","0")</f>
        <v>4304565221027560000</v>
      </c>
      <c r="S55" s="6" t="str">
        <f>HYPERLINK("https://www.jotform.com/edit/4304565221027567769","Edit Submission")</f>
        <v>Edit Submission</v>
      </c>
      <c r="T55" s="7"/>
    </row>
    <row r="56" spans="1:20" ht="15">
      <c r="A56" s="3">
        <v>43563.354247685187</v>
      </c>
      <c r="B56" s="4" t="s">
        <v>15</v>
      </c>
      <c r="C56" s="4" t="s">
        <v>203</v>
      </c>
      <c r="D56" s="15">
        <f t="shared" si="0"/>
        <v>43525</v>
      </c>
      <c r="E56" s="15" t="s">
        <v>351</v>
      </c>
      <c r="F56" s="21" t="str">
        <f t="shared" si="1"/>
        <v>este</v>
      </c>
      <c r="G56" s="4">
        <f t="shared" si="2"/>
        <v>19</v>
      </c>
      <c r="H56" s="5">
        <v>0.8125</v>
      </c>
      <c r="I56" s="4" t="s">
        <v>143</v>
      </c>
      <c r="J56" s="4" t="str">
        <f t="shared" si="3"/>
        <v>Szentegyháza</v>
      </c>
      <c r="K56" s="4" t="s">
        <v>18</v>
      </c>
      <c r="L56" s="4" t="s">
        <v>29</v>
      </c>
      <c r="M56" s="4" t="s">
        <v>30</v>
      </c>
      <c r="N56" s="4"/>
      <c r="O56" s="4"/>
      <c r="P56" s="4"/>
      <c r="Q56" s="4" t="s">
        <v>204</v>
      </c>
      <c r="R56" s="4" t="str">
        <f>TEXT("4305394072114760654","0")</f>
        <v>4305394072114760000</v>
      </c>
      <c r="S56" s="6" t="str">
        <f>HYPERLINK("https://www.jotform.com/edit/4305394072114760654","Edit Submission")</f>
        <v>Edit Submission</v>
      </c>
      <c r="T56" s="7"/>
    </row>
    <row r="57" spans="1:20" ht="15">
      <c r="A57" s="3">
        <v>43569.449467592596</v>
      </c>
      <c r="B57" s="4" t="s">
        <v>15</v>
      </c>
      <c r="C57" s="4" t="s">
        <v>205</v>
      </c>
      <c r="D57" s="15">
        <f t="shared" si="0"/>
        <v>43556</v>
      </c>
      <c r="E57" s="15" t="s">
        <v>361</v>
      </c>
      <c r="F57" s="21" t="str">
        <f t="shared" si="1"/>
        <v>délután</v>
      </c>
      <c r="G57" s="4">
        <f t="shared" si="2"/>
        <v>18</v>
      </c>
      <c r="H57" s="5">
        <v>0.78125</v>
      </c>
      <c r="I57" s="4" t="s">
        <v>133</v>
      </c>
      <c r="J57" s="4" t="str">
        <f t="shared" si="3"/>
        <v>Torja</v>
      </c>
      <c r="K57" s="10" t="s">
        <v>206</v>
      </c>
      <c r="L57" s="4" t="s">
        <v>19</v>
      </c>
      <c r="M57" s="4" t="s">
        <v>30</v>
      </c>
      <c r="N57" s="4"/>
      <c r="O57" s="4"/>
      <c r="P57" s="4" t="s">
        <v>207</v>
      </c>
      <c r="Q57" s="4" t="s">
        <v>208</v>
      </c>
      <c r="R57" s="4" t="str">
        <f>TEXT("4310660340615462108","0")</f>
        <v>4310660340615460000</v>
      </c>
      <c r="S57" s="6" t="str">
        <f>HYPERLINK("https://www.jotform.com/edit/4310660340615462108","Edit Submission")</f>
        <v>Edit Submission</v>
      </c>
      <c r="T57" s="7"/>
    </row>
    <row r="58" spans="1:20" ht="15">
      <c r="A58" s="3">
        <v>43572.917175925926</v>
      </c>
      <c r="B58" s="4" t="s">
        <v>15</v>
      </c>
      <c r="C58" s="9">
        <v>43469</v>
      </c>
      <c r="D58" s="15">
        <f t="shared" si="0"/>
        <v>43466</v>
      </c>
      <c r="E58" s="15" t="s">
        <v>356</v>
      </c>
      <c r="F58" s="21" t="str">
        <f t="shared" si="1"/>
        <v>éjjel</v>
      </c>
      <c r="G58" s="4">
        <f t="shared" si="2"/>
        <v>4</v>
      </c>
      <c r="H58" s="5">
        <v>0.1673611111111111</v>
      </c>
      <c r="I58" s="4" t="s">
        <v>209</v>
      </c>
      <c r="J58" s="4" t="str">
        <f t="shared" si="3"/>
        <v>Agyagfalva</v>
      </c>
      <c r="K58" s="10" t="s">
        <v>18</v>
      </c>
      <c r="L58" s="4" t="s">
        <v>65</v>
      </c>
      <c r="M58" s="4" t="s">
        <v>66</v>
      </c>
      <c r="N58" s="4"/>
      <c r="O58" s="4"/>
      <c r="P58" s="4"/>
      <c r="Q58" s="4" t="s">
        <v>23</v>
      </c>
      <c r="R58" s="4" t="str">
        <f>TEXT("4313656447813791756","0")</f>
        <v>4313656447813790000</v>
      </c>
      <c r="S58" s="6" t="str">
        <f>HYPERLINK("https://www.jotform.com/edit/4313656447813791756","Edit Submission")</f>
        <v>Edit Submission</v>
      </c>
      <c r="T58" s="7">
        <v>0</v>
      </c>
    </row>
    <row r="59" spans="1:20" ht="15">
      <c r="A59" s="3">
        <v>43573.108449074076</v>
      </c>
      <c r="B59" s="4" t="s">
        <v>15</v>
      </c>
      <c r="C59" s="9">
        <v>43681</v>
      </c>
      <c r="D59" s="15">
        <f t="shared" si="0"/>
        <v>43678</v>
      </c>
      <c r="E59" s="15" t="s">
        <v>354</v>
      </c>
      <c r="F59" s="21" t="str">
        <f t="shared" si="1"/>
        <v>reggel</v>
      </c>
      <c r="G59" s="4">
        <f t="shared" si="2"/>
        <v>8</v>
      </c>
      <c r="H59" s="5">
        <v>0.3611111111111111</v>
      </c>
      <c r="I59" s="4" t="s">
        <v>210</v>
      </c>
      <c r="J59" s="4" t="str">
        <f t="shared" si="3"/>
        <v>Zeteváralja</v>
      </c>
      <c r="K59" s="10" t="s">
        <v>211</v>
      </c>
      <c r="L59" s="4" t="s">
        <v>29</v>
      </c>
      <c r="M59" s="4" t="s">
        <v>30</v>
      </c>
      <c r="N59" s="4"/>
      <c r="O59" s="4"/>
      <c r="P59" s="4"/>
      <c r="Q59" s="4" t="s">
        <v>212</v>
      </c>
      <c r="R59" s="4" t="str">
        <f>TEXT("4313821701111324551","0")</f>
        <v>4313821701111320000</v>
      </c>
      <c r="S59" s="6" t="str">
        <f>HYPERLINK("https://www.jotform.com/edit/4313821701111324551","Edit Submission")</f>
        <v>Edit Submission</v>
      </c>
      <c r="T59" s="7"/>
    </row>
    <row r="60" spans="1:20" ht="15">
      <c r="A60" s="3">
        <v>43575.476122685184</v>
      </c>
      <c r="B60" s="4" t="s">
        <v>15</v>
      </c>
      <c r="C60" s="4" t="s">
        <v>213</v>
      </c>
      <c r="D60" s="15">
        <f t="shared" si="0"/>
        <v>43556</v>
      </c>
      <c r="E60" s="15" t="s">
        <v>361</v>
      </c>
      <c r="F60" s="21" t="str">
        <f t="shared" si="1"/>
        <v>reggel</v>
      </c>
      <c r="G60" s="4">
        <f t="shared" si="2"/>
        <v>9</v>
      </c>
      <c r="H60" s="5">
        <v>0.3923611111111111</v>
      </c>
      <c r="I60" s="4" t="s">
        <v>93</v>
      </c>
      <c r="J60" s="4" t="str">
        <f t="shared" si="3"/>
        <v>Szépviz</v>
      </c>
      <c r="K60" s="10" t="s">
        <v>214</v>
      </c>
      <c r="L60" s="4" t="s">
        <v>29</v>
      </c>
      <c r="M60" s="4" t="s">
        <v>66</v>
      </c>
      <c r="N60" s="4" t="s">
        <v>215</v>
      </c>
      <c r="O60" s="6" t="s">
        <v>216</v>
      </c>
      <c r="P60" s="4" t="s">
        <v>217</v>
      </c>
      <c r="Q60" s="4" t="s">
        <v>218</v>
      </c>
      <c r="R60" s="4" t="str">
        <f>TEXT("4315867372025756602","0")</f>
        <v>4315867372025750000</v>
      </c>
      <c r="S60" s="6" t="str">
        <f>HYPERLINK("https://www.jotform.com/edit/4315867372025756602","Edit Submission")</f>
        <v>Edit Submission</v>
      </c>
      <c r="T60" s="7"/>
    </row>
    <row r="61" spans="1:20" ht="15">
      <c r="A61" s="3">
        <v>43575.533819444441</v>
      </c>
      <c r="B61" s="4" t="s">
        <v>15</v>
      </c>
      <c r="C61" s="4" t="s">
        <v>213</v>
      </c>
      <c r="D61" s="15">
        <f t="shared" si="0"/>
        <v>43556</v>
      </c>
      <c r="E61" s="15" t="s">
        <v>361</v>
      </c>
      <c r="F61" s="21" t="str">
        <f t="shared" si="1"/>
        <v>délután</v>
      </c>
      <c r="G61" s="4">
        <f t="shared" si="2"/>
        <v>18</v>
      </c>
      <c r="H61" s="5">
        <v>0.77083333333333337</v>
      </c>
      <c r="I61" s="4" t="s">
        <v>219</v>
      </c>
      <c r="J61" s="4" t="str">
        <f t="shared" si="3"/>
        <v>Kozmás</v>
      </c>
      <c r="K61" s="10" t="s">
        <v>220</v>
      </c>
      <c r="L61" s="4" t="s">
        <v>65</v>
      </c>
      <c r="M61" s="4" t="s">
        <v>30</v>
      </c>
      <c r="N61" s="4" t="s">
        <v>221</v>
      </c>
      <c r="O61" s="4"/>
      <c r="P61" s="4" t="s">
        <v>222</v>
      </c>
      <c r="Q61" s="4" t="s">
        <v>223</v>
      </c>
      <c r="R61" s="4" t="str">
        <f>TEXT("4315917224712435603","0")</f>
        <v>4315917224712430000</v>
      </c>
      <c r="S61" s="6" t="str">
        <f>HYPERLINK("https://www.jotform.com/edit/4315917224712435603","Edit Submission")</f>
        <v>Edit Submission</v>
      </c>
      <c r="T61" s="7"/>
    </row>
    <row r="62" spans="1:20" ht="15">
      <c r="A62" s="3">
        <v>43578.225717592592</v>
      </c>
      <c r="B62" s="4" t="s">
        <v>73</v>
      </c>
      <c r="C62" s="4" t="s">
        <v>224</v>
      </c>
      <c r="D62" s="15">
        <f t="shared" si="0"/>
        <v>43556</v>
      </c>
      <c r="E62" s="15" t="s">
        <v>361</v>
      </c>
      <c r="F62" s="21" t="str">
        <f t="shared" si="1"/>
        <v>este</v>
      </c>
      <c r="G62" s="4">
        <f t="shared" si="2"/>
        <v>19</v>
      </c>
      <c r="H62" s="5">
        <v>0.80694444444444446</v>
      </c>
      <c r="I62" s="4" t="s">
        <v>49</v>
      </c>
      <c r="J62" s="4" t="str">
        <f t="shared" si="3"/>
        <v>Csíkszentgyörgy</v>
      </c>
      <c r="K62" s="10" t="s">
        <v>18</v>
      </c>
      <c r="L62" s="4"/>
      <c r="M62" s="4" t="s">
        <v>37</v>
      </c>
      <c r="N62" s="4"/>
      <c r="O62" s="6" t="s">
        <v>225</v>
      </c>
      <c r="P62" s="4"/>
      <c r="Q62" s="4" t="s">
        <v>226</v>
      </c>
      <c r="R62" s="4" t="str">
        <f>TEXT("4318243012128544236","0")</f>
        <v>4318243012128540000</v>
      </c>
      <c r="S62" s="6" t="str">
        <f>HYPERLINK("https://www.jotform.com/edit/4318243012128544236","Edit Submission")</f>
        <v>Edit Submission</v>
      </c>
      <c r="T62" s="7"/>
    </row>
    <row r="63" spans="1:20" ht="15">
      <c r="A63" s="3">
        <v>43584.546354166669</v>
      </c>
      <c r="B63" s="4" t="s">
        <v>73</v>
      </c>
      <c r="C63" s="9">
        <v>43620</v>
      </c>
      <c r="D63" s="15">
        <f t="shared" si="0"/>
        <v>43617</v>
      </c>
      <c r="E63" s="15" t="s">
        <v>357</v>
      </c>
      <c r="F63" s="21" t="str">
        <f t="shared" si="1"/>
        <v>éjjel</v>
      </c>
      <c r="G63" s="4">
        <f t="shared" si="2"/>
        <v>1</v>
      </c>
      <c r="H63" s="5">
        <v>4.1666666666666664E-2</v>
      </c>
      <c r="I63" s="4" t="s">
        <v>227</v>
      </c>
      <c r="J63" s="4" t="str">
        <f t="shared" si="3"/>
        <v>Szentábrahám</v>
      </c>
      <c r="K63" s="10" t="s">
        <v>228</v>
      </c>
      <c r="L63" s="4" t="s">
        <v>29</v>
      </c>
      <c r="M63" s="4" t="s">
        <v>30</v>
      </c>
      <c r="N63" s="4"/>
      <c r="O63" s="4"/>
      <c r="P63" s="6" t="s">
        <v>229</v>
      </c>
      <c r="Q63" s="4" t="s">
        <v>230</v>
      </c>
      <c r="R63" s="4" t="str">
        <f>TEXT("4323704053477512317","0")</f>
        <v>4323704053477510000</v>
      </c>
      <c r="S63" s="6" t="str">
        <f>HYPERLINK("https://www.jotform.com/edit/4323704053477512317","Edit Submission")</f>
        <v>Edit Submission</v>
      </c>
      <c r="T63" s="7"/>
    </row>
    <row r="64" spans="1:20" ht="15">
      <c r="A64" s="3">
        <v>43584.630231481482</v>
      </c>
      <c r="B64" s="4" t="s">
        <v>15</v>
      </c>
      <c r="C64" s="4" t="s">
        <v>231</v>
      </c>
      <c r="D64" s="15">
        <f t="shared" si="0"/>
        <v>43556</v>
      </c>
      <c r="E64" s="15" t="s">
        <v>361</v>
      </c>
      <c r="F64" s="21" t="str">
        <f t="shared" si="1"/>
        <v>este</v>
      </c>
      <c r="G64" s="4">
        <f t="shared" si="2"/>
        <v>21</v>
      </c>
      <c r="H64" s="5">
        <v>0.89583333333333337</v>
      </c>
      <c r="I64" s="4" t="s">
        <v>232</v>
      </c>
      <c r="J64" s="4" t="str">
        <f t="shared" si="3"/>
        <v>Lisznyó</v>
      </c>
      <c r="K64" s="10" t="s">
        <v>233</v>
      </c>
      <c r="L64" s="4" t="s">
        <v>29</v>
      </c>
      <c r="M64" s="4" t="s">
        <v>30</v>
      </c>
      <c r="N64" s="4"/>
      <c r="O64" s="4"/>
      <c r="P64" s="4" t="s">
        <v>234</v>
      </c>
      <c r="Q64" s="4" t="s">
        <v>235</v>
      </c>
      <c r="R64" s="4" t="str">
        <f>TEXT("4323776520329226931","0")</f>
        <v>4323776520329220000</v>
      </c>
      <c r="S64" s="6" t="str">
        <f>HYPERLINK("https://www.jotform.com/edit/4323776520329226931","Edit Submission")</f>
        <v>Edit Submission</v>
      </c>
      <c r="T64" s="7"/>
    </row>
    <row r="65" spans="1:20" ht="15">
      <c r="A65" s="3">
        <v>43588.05641203704</v>
      </c>
      <c r="B65" s="4" t="s">
        <v>15</v>
      </c>
      <c r="C65" s="9">
        <v>43529</v>
      </c>
      <c r="D65" s="15">
        <f t="shared" si="0"/>
        <v>43525</v>
      </c>
      <c r="E65" s="15" t="s">
        <v>351</v>
      </c>
      <c r="F65" s="21" t="str">
        <f t="shared" si="1"/>
        <v>éjjel</v>
      </c>
      <c r="G65" s="4">
        <f t="shared" si="2"/>
        <v>6</v>
      </c>
      <c r="H65" s="5">
        <v>0.25208333333333333</v>
      </c>
      <c r="I65" s="4" t="s">
        <v>236</v>
      </c>
      <c r="J65" s="4" t="str">
        <f t="shared" si="3"/>
        <v>Tibód</v>
      </c>
      <c r="K65" s="10" t="s">
        <v>237</v>
      </c>
      <c r="L65" s="4" t="s">
        <v>150</v>
      </c>
      <c r="M65" s="4" t="s">
        <v>30</v>
      </c>
      <c r="N65" s="4" t="s">
        <v>238</v>
      </c>
      <c r="O65" s="4"/>
      <c r="P65" s="4" t="s">
        <v>239</v>
      </c>
      <c r="Q65" s="4" t="s">
        <v>240</v>
      </c>
      <c r="R65" s="4" t="str">
        <f>TEXT("4326736746353175480","0")</f>
        <v>4326736746353170000</v>
      </c>
      <c r="S65" s="6" t="str">
        <f>HYPERLINK("https://www.jotform.com/edit/4326736746353175480","Edit Submission")</f>
        <v>Edit Submission</v>
      </c>
      <c r="T65" s="7"/>
    </row>
    <row r="66" spans="1:20" ht="15">
      <c r="A66" s="3">
        <v>43590.475358796299</v>
      </c>
      <c r="B66" s="4" t="s">
        <v>15</v>
      </c>
      <c r="C66" s="4" t="s">
        <v>241</v>
      </c>
      <c r="D66" s="15">
        <f t="shared" si="0"/>
        <v>43556</v>
      </c>
      <c r="E66" s="15" t="s">
        <v>361</v>
      </c>
      <c r="F66" s="21" t="str">
        <f t="shared" si="1"/>
        <v>este</v>
      </c>
      <c r="G66" s="4">
        <f t="shared" si="2"/>
        <v>19</v>
      </c>
      <c r="H66" s="5">
        <v>0.79861111111111116</v>
      </c>
      <c r="I66" s="4" t="s">
        <v>242</v>
      </c>
      <c r="J66" s="4" t="str">
        <f t="shared" si="3"/>
        <v>Báványosfürdő</v>
      </c>
      <c r="K66" s="10" t="s">
        <v>243</v>
      </c>
      <c r="L66" s="4" t="s">
        <v>19</v>
      </c>
      <c r="M66" s="4" t="s">
        <v>30</v>
      </c>
      <c r="N66" s="4" t="s">
        <v>244</v>
      </c>
      <c r="O66" s="6" t="s">
        <v>245</v>
      </c>
      <c r="P66" s="4" t="s">
        <v>246</v>
      </c>
      <c r="Q66" s="4" t="s">
        <v>247</v>
      </c>
      <c r="R66" s="4" t="str">
        <f>TEXT("4328826719231565695","0")</f>
        <v>4328826719231560000</v>
      </c>
      <c r="S66" s="6" t="str">
        <f>HYPERLINK("https://www.jotform.com/edit/4328826719231565695","Edit Submission")</f>
        <v>Edit Submission</v>
      </c>
    </row>
    <row r="67" spans="1:20" ht="15">
      <c r="A67" s="3">
        <v>43591.023414351854</v>
      </c>
      <c r="B67" s="4" t="s">
        <v>15</v>
      </c>
      <c r="C67" s="9">
        <v>43560</v>
      </c>
      <c r="D67" s="15">
        <f t="shared" ref="D67:D98" si="7">DATE(2019,MONTH(C67),1)</f>
        <v>43556</v>
      </c>
      <c r="E67" s="15" t="s">
        <v>361</v>
      </c>
      <c r="F67" s="21" t="str">
        <f t="shared" ref="F67:F98" si="8">IF(G67&gt;18,"este",IF(G67&gt;12,"délután",IF(G67&gt;6,"reggel","éjjel")))</f>
        <v>este</v>
      </c>
      <c r="G67" s="4">
        <f t="shared" ref="G67:G98" si="9">INT(HOUR(H67))</f>
        <v>19</v>
      </c>
      <c r="H67" s="5">
        <v>0.8125</v>
      </c>
      <c r="I67" s="4" t="s">
        <v>210</v>
      </c>
      <c r="J67" s="4" t="str">
        <f t="shared" ref="J67:J98" si="10">RIGHT(I67,LEN(I67)-FIND(CHAR(10),I67))</f>
        <v>Zeteváralja</v>
      </c>
      <c r="K67" s="10" t="s">
        <v>248</v>
      </c>
      <c r="L67" s="4" t="s">
        <v>29</v>
      </c>
      <c r="M67" s="4" t="s">
        <v>30</v>
      </c>
      <c r="N67" s="4" t="s">
        <v>249</v>
      </c>
      <c r="O67" s="4"/>
      <c r="P67" s="4"/>
      <c r="Q67" s="4" t="s">
        <v>250</v>
      </c>
      <c r="R67" s="4" t="str">
        <f>TEXT("4329300236914918797","0")</f>
        <v>4329300236914910000</v>
      </c>
      <c r="S67" s="6" t="str">
        <f>HYPERLINK("https://www.jotform.com/edit/4329300236914918797","Edit Submission")</f>
        <v>Edit Submission</v>
      </c>
    </row>
    <row r="68" spans="1:20" ht="15">
      <c r="A68" s="3">
        <v>43612.273530092592</v>
      </c>
      <c r="B68" s="4" t="s">
        <v>73</v>
      </c>
      <c r="C68" s="4" t="s">
        <v>251</v>
      </c>
      <c r="D68" s="15">
        <f t="shared" si="7"/>
        <v>43586</v>
      </c>
      <c r="E68" s="15" t="s">
        <v>359</v>
      </c>
      <c r="F68" s="21" t="str">
        <f t="shared" si="8"/>
        <v>délután</v>
      </c>
      <c r="G68" s="4">
        <f t="shared" si="9"/>
        <v>14</v>
      </c>
      <c r="H68" s="5">
        <v>0.60486111111111107</v>
      </c>
      <c r="I68" s="4" t="s">
        <v>252</v>
      </c>
      <c r="J68" s="4" t="str">
        <f t="shared" si="10"/>
        <v>Egerpatak</v>
      </c>
      <c r="K68" s="10" t="s">
        <v>18</v>
      </c>
      <c r="L68" s="4" t="s">
        <v>91</v>
      </c>
      <c r="M68" s="4" t="s">
        <v>66</v>
      </c>
      <c r="N68" s="4"/>
      <c r="O68" s="4"/>
      <c r="P68" s="4"/>
      <c r="Q68" s="4" t="s">
        <v>253</v>
      </c>
      <c r="R68" s="4" t="str">
        <f>TEXT("4347660338417696300","0")</f>
        <v>4347660338417690000</v>
      </c>
      <c r="S68" s="6" t="str">
        <f>HYPERLINK("https://www.jotform.com/edit/4347660338417696300","Edit Submission")</f>
        <v>Edit Submission</v>
      </c>
    </row>
    <row r="69" spans="1:20" ht="15">
      <c r="A69" s="3">
        <v>43614.604421296295</v>
      </c>
      <c r="B69" s="4" t="s">
        <v>73</v>
      </c>
      <c r="C69" s="4" t="s">
        <v>251</v>
      </c>
      <c r="D69" s="15">
        <f t="shared" si="7"/>
        <v>43586</v>
      </c>
      <c r="E69" s="15" t="s">
        <v>359</v>
      </c>
      <c r="F69" s="21" t="str">
        <f t="shared" si="8"/>
        <v>este</v>
      </c>
      <c r="G69" s="4">
        <f t="shared" si="9"/>
        <v>22</v>
      </c>
      <c r="H69" s="5">
        <v>0.93541666666666667</v>
      </c>
      <c r="I69" s="4" t="s">
        <v>254</v>
      </c>
      <c r="J69" s="4" t="str">
        <f t="shared" si="10"/>
        <v>Csíkszentdomokos</v>
      </c>
      <c r="K69" s="10" t="s">
        <v>255</v>
      </c>
      <c r="L69" s="4" t="s">
        <v>29</v>
      </c>
      <c r="M69" s="4" t="s">
        <v>43</v>
      </c>
      <c r="N69" s="4" t="s">
        <v>256</v>
      </c>
      <c r="O69" s="4"/>
      <c r="P69" s="4"/>
      <c r="Q69" s="4" t="s">
        <v>257</v>
      </c>
      <c r="R69" s="4" t="str">
        <f>TEXT("4349674223325160765","0")</f>
        <v>4349674223325160000</v>
      </c>
      <c r="S69" s="6" t="str">
        <f>HYPERLINK("https://www.jotform.com/edit/4349674223325160765","Edit Submission")</f>
        <v>Edit Submission</v>
      </c>
    </row>
    <row r="70" spans="1:20" ht="15">
      <c r="A70" s="3">
        <v>43614.606504629628</v>
      </c>
      <c r="B70" s="4" t="s">
        <v>15</v>
      </c>
      <c r="C70" s="4" t="s">
        <v>258</v>
      </c>
      <c r="D70" s="15">
        <f t="shared" si="7"/>
        <v>43586</v>
      </c>
      <c r="E70" s="15" t="s">
        <v>359</v>
      </c>
      <c r="F70" s="21" t="str">
        <f t="shared" si="8"/>
        <v>éjjel</v>
      </c>
      <c r="G70" s="4">
        <f t="shared" si="9"/>
        <v>6</v>
      </c>
      <c r="H70" s="5">
        <v>0.27083333333333331</v>
      </c>
      <c r="I70" s="4" t="s">
        <v>254</v>
      </c>
      <c r="J70" s="4" t="str">
        <f t="shared" si="10"/>
        <v>Csíkszentdomokos</v>
      </c>
      <c r="K70" s="10" t="s">
        <v>259</v>
      </c>
      <c r="L70" s="4" t="s">
        <v>29</v>
      </c>
      <c r="M70" s="4" t="s">
        <v>30</v>
      </c>
      <c r="N70" s="4" t="s">
        <v>256</v>
      </c>
      <c r="O70" s="4"/>
      <c r="P70" s="4"/>
      <c r="Q70" s="4" t="s">
        <v>257</v>
      </c>
      <c r="R70" s="4" t="str">
        <f>TEXT("4349676023327651122","0")</f>
        <v>4349676023327650000</v>
      </c>
      <c r="S70" s="6" t="str">
        <f>HYPERLINK("https://www.jotform.com/edit/4349676023327651122","Edit Submission")</f>
        <v>Edit Submission</v>
      </c>
    </row>
    <row r="71" spans="1:20" ht="15">
      <c r="A71" s="3">
        <v>43623.608981481484</v>
      </c>
      <c r="B71" s="4" t="s">
        <v>15</v>
      </c>
      <c r="C71" s="9">
        <v>43652</v>
      </c>
      <c r="D71" s="15">
        <f t="shared" si="7"/>
        <v>43647</v>
      </c>
      <c r="E71" s="15" t="s">
        <v>353</v>
      </c>
      <c r="F71" s="21" t="str">
        <f t="shared" si="8"/>
        <v>reggel</v>
      </c>
      <c r="G71" s="4">
        <f t="shared" si="9"/>
        <v>12</v>
      </c>
      <c r="H71" s="5">
        <v>0.5</v>
      </c>
      <c r="I71" s="4" t="s">
        <v>260</v>
      </c>
      <c r="J71" s="4" t="str">
        <f t="shared" si="10"/>
        <v>Szentkeresztbánya</v>
      </c>
      <c r="K71" s="10" t="s">
        <v>261</v>
      </c>
      <c r="L71" s="4" t="s">
        <v>29</v>
      </c>
      <c r="M71" s="4" t="s">
        <v>30</v>
      </c>
      <c r="N71" s="4"/>
      <c r="O71" s="6" t="s">
        <v>262</v>
      </c>
      <c r="P71" s="6" t="s">
        <v>263</v>
      </c>
      <c r="Q71" s="4" t="s">
        <v>230</v>
      </c>
      <c r="R71" s="4" t="str">
        <f>TEXT("4357454163473461314","0")</f>
        <v>4357454163473460000</v>
      </c>
      <c r="S71" s="6" t="str">
        <f>HYPERLINK("https://www.jotform.com/edit/4357454163473461314","Edit Submission")</f>
        <v>Edit Submission</v>
      </c>
    </row>
    <row r="72" spans="1:20" ht="15">
      <c r="A72" s="3">
        <v>43627.543252314812</v>
      </c>
      <c r="B72" s="4" t="s">
        <v>15</v>
      </c>
      <c r="C72" s="9">
        <v>43775</v>
      </c>
      <c r="D72" s="15">
        <f t="shared" si="7"/>
        <v>43770</v>
      </c>
      <c r="E72" s="15" t="s">
        <v>362</v>
      </c>
      <c r="F72" s="21" t="str">
        <f t="shared" si="8"/>
        <v>reggel</v>
      </c>
      <c r="G72" s="4">
        <f t="shared" si="9"/>
        <v>10</v>
      </c>
      <c r="H72" s="5">
        <v>0.4375</v>
      </c>
      <c r="I72" s="4" t="s">
        <v>264</v>
      </c>
      <c r="J72" s="4" t="str">
        <f t="shared" si="10"/>
        <v>Beresztelke</v>
      </c>
      <c r="K72" s="10" t="s">
        <v>18</v>
      </c>
      <c r="L72" s="4" t="s">
        <v>29</v>
      </c>
      <c r="M72" s="4" t="s">
        <v>30</v>
      </c>
      <c r="N72" s="4"/>
      <c r="O72" s="6" t="s">
        <v>265</v>
      </c>
      <c r="P72" s="6" t="s">
        <v>266</v>
      </c>
      <c r="Q72" s="4" t="s">
        <v>230</v>
      </c>
      <c r="R72" s="4" t="str">
        <f>TEXT("4360853373479582014","0")</f>
        <v>4360853373479580000</v>
      </c>
      <c r="S72" s="6" t="str">
        <f>HYPERLINK("https://www.jotform.com/edit/4360853373479582014","Edit Submission")</f>
        <v>Edit Submission</v>
      </c>
    </row>
    <row r="73" spans="1:20" ht="15">
      <c r="A73" s="3">
        <v>43639.569328703707</v>
      </c>
      <c r="B73" s="4" t="s">
        <v>15</v>
      </c>
      <c r="C73" s="4" t="s">
        <v>267</v>
      </c>
      <c r="D73" s="15">
        <f t="shared" si="7"/>
        <v>43617</v>
      </c>
      <c r="E73" s="15" t="s">
        <v>357</v>
      </c>
      <c r="F73" s="21" t="str">
        <f t="shared" si="8"/>
        <v>este</v>
      </c>
      <c r="G73" s="4">
        <f t="shared" si="9"/>
        <v>21</v>
      </c>
      <c r="H73" s="5">
        <v>0.90138888888888891</v>
      </c>
      <c r="I73" s="4" t="s">
        <v>268</v>
      </c>
      <c r="J73" s="4" t="str">
        <f t="shared" si="10"/>
        <v>Ülke</v>
      </c>
      <c r="K73" s="10" t="s">
        <v>18</v>
      </c>
      <c r="L73" s="4" t="s">
        <v>29</v>
      </c>
      <c r="M73" s="4" t="s">
        <v>30</v>
      </c>
      <c r="N73" s="4"/>
      <c r="O73" s="4"/>
      <c r="P73" s="4" t="s">
        <v>269</v>
      </c>
      <c r="Q73" s="4" t="s">
        <v>121</v>
      </c>
      <c r="R73" s="4" t="str">
        <f>TEXT("4371243901516123770","0")</f>
        <v>4371243901516120000</v>
      </c>
      <c r="S73" s="6" t="str">
        <f>HYPERLINK("https://www.jotform.com/edit/4371243901516123770","Edit Submission")</f>
        <v>Edit Submission</v>
      </c>
    </row>
    <row r="74" spans="1:20" ht="15">
      <c r="A74" s="3">
        <v>43641.584976851853</v>
      </c>
      <c r="B74" s="4" t="s">
        <v>15</v>
      </c>
      <c r="C74" s="4" t="s">
        <v>270</v>
      </c>
      <c r="D74" s="15">
        <f t="shared" si="7"/>
        <v>43617</v>
      </c>
      <c r="E74" s="15" t="s">
        <v>357</v>
      </c>
      <c r="F74" s="21" t="str">
        <f t="shared" si="8"/>
        <v>reggel</v>
      </c>
      <c r="G74" s="4">
        <f t="shared" si="9"/>
        <v>10</v>
      </c>
      <c r="H74" s="5">
        <v>0.45624999999999999</v>
      </c>
      <c r="I74" s="4" t="s">
        <v>271</v>
      </c>
      <c r="J74" s="4" t="str">
        <f t="shared" si="10"/>
        <v>Csíkszentimre</v>
      </c>
      <c r="K74" s="10" t="s">
        <v>18</v>
      </c>
      <c r="L74" s="4" t="s">
        <v>150</v>
      </c>
      <c r="M74" s="4" t="s">
        <v>30</v>
      </c>
      <c r="N74" s="4"/>
      <c r="O74" s="6" t="s">
        <v>272</v>
      </c>
      <c r="P74" s="6" t="s">
        <v>273</v>
      </c>
      <c r="Q74" s="4" t="s">
        <v>230</v>
      </c>
      <c r="R74" s="4" t="str">
        <f>TEXT("4372985423477767683","0")</f>
        <v>4372985423477760000</v>
      </c>
      <c r="S74" s="6" t="str">
        <f>HYPERLINK("https://www.jotform.com/edit/4372985423477767683","Edit Submission")</f>
        <v>Edit Submission</v>
      </c>
    </row>
    <row r="75" spans="1:20" ht="15">
      <c r="A75" s="3">
        <v>43641.599918981483</v>
      </c>
      <c r="B75" s="4" t="s">
        <v>15</v>
      </c>
      <c r="C75" s="4" t="s">
        <v>270</v>
      </c>
      <c r="D75" s="15">
        <f t="shared" si="7"/>
        <v>43617</v>
      </c>
      <c r="E75" s="15" t="s">
        <v>357</v>
      </c>
      <c r="F75" s="21" t="str">
        <f t="shared" si="8"/>
        <v>délután</v>
      </c>
      <c r="G75" s="4">
        <f t="shared" si="9"/>
        <v>14</v>
      </c>
      <c r="H75" s="5">
        <v>0.59652777777777777</v>
      </c>
      <c r="I75" s="4" t="s">
        <v>274</v>
      </c>
      <c r="J75" s="4" t="str">
        <f t="shared" si="10"/>
        <v>Más település</v>
      </c>
      <c r="K75" s="10" t="s">
        <v>275</v>
      </c>
      <c r="L75" s="4" t="s">
        <v>276</v>
      </c>
      <c r="M75" s="4" t="s">
        <v>43</v>
      </c>
      <c r="N75" s="4"/>
      <c r="O75" s="4"/>
      <c r="P75" s="6" t="s">
        <v>277</v>
      </c>
      <c r="Q75" s="4" t="s">
        <v>230</v>
      </c>
      <c r="R75" s="4" t="str">
        <f>TEXT("4372998333471554331","0")</f>
        <v>4372998333471550000</v>
      </c>
      <c r="S75" s="6" t="str">
        <f>HYPERLINK("https://www.jotform.com/edit/4372998333471554331","Edit Submission")</f>
        <v>Edit Submission</v>
      </c>
    </row>
    <row r="76" spans="1:20" ht="15">
      <c r="A76" s="3">
        <v>43649.214328703703</v>
      </c>
      <c r="B76" s="4" t="s">
        <v>122</v>
      </c>
      <c r="C76" s="9">
        <v>43531</v>
      </c>
      <c r="D76" s="15">
        <f t="shared" si="7"/>
        <v>43525</v>
      </c>
      <c r="E76" s="15" t="s">
        <v>351</v>
      </c>
      <c r="F76" s="21" t="str">
        <f t="shared" si="8"/>
        <v>délután</v>
      </c>
      <c r="G76" s="4">
        <f t="shared" si="9"/>
        <v>16</v>
      </c>
      <c r="H76" s="5">
        <v>0.68055555555555558</v>
      </c>
      <c r="I76" s="4" t="s">
        <v>278</v>
      </c>
      <c r="J76" s="4" t="str">
        <f t="shared" si="10"/>
        <v>Bikfalva</v>
      </c>
      <c r="K76" s="10" t="s">
        <v>18</v>
      </c>
      <c r="L76" s="4" t="s">
        <v>279</v>
      </c>
      <c r="M76" s="4" t="s">
        <v>37</v>
      </c>
      <c r="N76" s="4" t="s">
        <v>280</v>
      </c>
      <c r="O76" s="6" t="s">
        <v>281</v>
      </c>
      <c r="P76" s="4" t="s">
        <v>282</v>
      </c>
      <c r="Q76" s="4" t="s">
        <v>283</v>
      </c>
      <c r="R76" s="4" t="str">
        <f>TEXT("4379577170188700454","0")</f>
        <v>4379577170188700000</v>
      </c>
      <c r="S76" s="6" t="str">
        <f>HYPERLINK("https://www.jotform.com/edit/4379577170188700454","Edit Submission")</f>
        <v>Edit Submission</v>
      </c>
      <c r="T76" s="7">
        <v>0</v>
      </c>
    </row>
    <row r="77" spans="1:20" ht="15">
      <c r="A77" s="3">
        <v>43657.400717592594</v>
      </c>
      <c r="B77" s="4" t="s">
        <v>15</v>
      </c>
      <c r="C77" s="9">
        <v>43715</v>
      </c>
      <c r="D77" s="15">
        <f t="shared" si="7"/>
        <v>43709</v>
      </c>
      <c r="E77" s="15" t="s">
        <v>358</v>
      </c>
      <c r="F77" s="21" t="str">
        <f t="shared" si="8"/>
        <v>éjjel</v>
      </c>
      <c r="G77" s="4">
        <f t="shared" si="9"/>
        <v>2</v>
      </c>
      <c r="H77" s="5">
        <v>0.10416666666666667</v>
      </c>
      <c r="I77" s="4" t="s">
        <v>284</v>
      </c>
      <c r="J77" s="4" t="str">
        <f t="shared" si="10"/>
        <v>Kobátfalva</v>
      </c>
      <c r="K77" s="10" t="s">
        <v>285</v>
      </c>
      <c r="L77" s="4" t="s">
        <v>29</v>
      </c>
      <c r="M77" s="4" t="s">
        <v>30</v>
      </c>
      <c r="N77" s="4"/>
      <c r="O77" s="4"/>
      <c r="P77" s="4"/>
      <c r="Q77" s="4" t="s">
        <v>286</v>
      </c>
      <c r="R77" s="4" t="str">
        <f>TEXT("4386650226351058542","0")</f>
        <v>4386650226351050000</v>
      </c>
      <c r="S77" s="6" t="str">
        <f>HYPERLINK("https://www.jotform.com/edit/4386650226351058542","Edit Submission")</f>
        <v>Edit Submission</v>
      </c>
    </row>
    <row r="78" spans="1:20" ht="15">
      <c r="A78" s="3">
        <v>43670.700358796297</v>
      </c>
      <c r="B78" s="4" t="s">
        <v>15</v>
      </c>
      <c r="C78" s="4" t="s">
        <v>287</v>
      </c>
      <c r="D78" s="15">
        <f t="shared" si="7"/>
        <v>43647</v>
      </c>
      <c r="E78" s="15" t="s">
        <v>353</v>
      </c>
      <c r="F78" s="21" t="str">
        <f t="shared" si="8"/>
        <v>reggel</v>
      </c>
      <c r="G78" s="4">
        <f t="shared" si="9"/>
        <v>11</v>
      </c>
      <c r="H78" s="5">
        <v>0.49027777777777776</v>
      </c>
      <c r="I78" s="4" t="s">
        <v>288</v>
      </c>
      <c r="J78" s="4" t="str">
        <f t="shared" si="10"/>
        <v>Siklód</v>
      </c>
      <c r="K78" s="10" t="s">
        <v>18</v>
      </c>
      <c r="L78" s="4" t="s">
        <v>29</v>
      </c>
      <c r="M78" s="4" t="s">
        <v>30</v>
      </c>
      <c r="N78" s="4"/>
      <c r="O78" s="6" t="s">
        <v>289</v>
      </c>
      <c r="P78" s="6" t="s">
        <v>290</v>
      </c>
      <c r="Q78" s="4" t="s">
        <v>291</v>
      </c>
      <c r="R78" s="4" t="str">
        <f>TEXT("4398141110327034496","0")</f>
        <v>4398141110327030000</v>
      </c>
      <c r="S78" s="6" t="str">
        <f>HYPERLINK("https://www.jotform.com/edit/4398141110327034496","Edit Submission")</f>
        <v>Edit Submission</v>
      </c>
    </row>
    <row r="79" spans="1:20" ht="15">
      <c r="A79" s="3">
        <v>43677.353009259263</v>
      </c>
      <c r="B79" s="4" t="s">
        <v>15</v>
      </c>
      <c r="C79" s="4" t="s">
        <v>292</v>
      </c>
      <c r="D79" s="15">
        <f t="shared" si="7"/>
        <v>43647</v>
      </c>
      <c r="E79" s="15" t="s">
        <v>353</v>
      </c>
      <c r="F79" s="21" t="str">
        <f t="shared" si="8"/>
        <v>éjjel</v>
      </c>
      <c r="G79" s="4">
        <f t="shared" si="9"/>
        <v>0</v>
      </c>
      <c r="H79" s="5">
        <v>3.2638888888888891E-2</v>
      </c>
      <c r="I79" s="4" t="s">
        <v>34</v>
      </c>
      <c r="J79" s="4" t="str">
        <f t="shared" si="10"/>
        <v>Gyergyócsomafalva</v>
      </c>
      <c r="K79" s="10" t="s">
        <v>293</v>
      </c>
      <c r="L79" s="4" t="s">
        <v>91</v>
      </c>
      <c r="M79" s="4" t="s">
        <v>30</v>
      </c>
      <c r="N79" s="4"/>
      <c r="O79" s="4"/>
      <c r="P79" s="4"/>
      <c r="Q79" s="4" t="s">
        <v>294</v>
      </c>
      <c r="R79" s="4" t="str">
        <f>TEXT("4403889004919213187","0")</f>
        <v>4403889004919210000</v>
      </c>
      <c r="S79" s="6" t="str">
        <f>HYPERLINK("https://www.jotform.com/edit/4403889004919213187","Edit Submission")</f>
        <v>Edit Submission</v>
      </c>
    </row>
    <row r="80" spans="1:20" ht="15">
      <c r="A80" s="3">
        <v>43730.5859375</v>
      </c>
      <c r="B80" s="4" t="s">
        <v>15</v>
      </c>
      <c r="C80" s="4" t="s">
        <v>295</v>
      </c>
      <c r="D80" s="15">
        <f t="shared" si="7"/>
        <v>43709</v>
      </c>
      <c r="E80" s="15" t="s">
        <v>358</v>
      </c>
      <c r="F80" s="21" t="str">
        <f t="shared" si="8"/>
        <v>reggel</v>
      </c>
      <c r="G80" s="4">
        <f t="shared" si="9"/>
        <v>12</v>
      </c>
      <c r="H80" s="5">
        <v>0.5</v>
      </c>
      <c r="I80" s="4" t="s">
        <v>296</v>
      </c>
      <c r="J80" s="4" t="str">
        <f t="shared" si="10"/>
        <v>Uzon</v>
      </c>
      <c r="K80" s="10" t="s">
        <v>297</v>
      </c>
      <c r="L80" s="4" t="s">
        <v>65</v>
      </c>
      <c r="M80" s="4" t="s">
        <v>30</v>
      </c>
      <c r="N80" s="4"/>
      <c r="O80" s="6" t="s">
        <v>298</v>
      </c>
      <c r="P80" s="4"/>
      <c r="Q80" s="4" t="s">
        <v>299</v>
      </c>
      <c r="R80" s="4" t="str">
        <f>TEXT("4449882255707867615","0")</f>
        <v>4449882255707860000</v>
      </c>
      <c r="S80" s="6" t="str">
        <f>HYPERLINK("https://www.jotform.com/edit/4449882255707867615","Edit Submission")</f>
        <v>Edit Submission</v>
      </c>
    </row>
    <row r="81" spans="1:20" ht="15">
      <c r="A81" s="3">
        <v>43736.389282407406</v>
      </c>
      <c r="B81" s="4" t="s">
        <v>15</v>
      </c>
      <c r="C81" s="4" t="s">
        <v>300</v>
      </c>
      <c r="D81" s="15">
        <f t="shared" si="7"/>
        <v>43709</v>
      </c>
      <c r="E81" s="15" t="s">
        <v>358</v>
      </c>
      <c r="F81" s="21" t="str">
        <f t="shared" si="8"/>
        <v>délután</v>
      </c>
      <c r="G81" s="4">
        <f t="shared" si="9"/>
        <v>17</v>
      </c>
      <c r="H81" s="5">
        <v>0.72152777777777777</v>
      </c>
      <c r="I81" s="4" t="s">
        <v>301</v>
      </c>
      <c r="J81" s="4" t="str">
        <f t="shared" si="10"/>
        <v>Úzvölgy</v>
      </c>
      <c r="K81" s="10" t="s">
        <v>18</v>
      </c>
      <c r="L81" s="4" t="s">
        <v>82</v>
      </c>
      <c r="M81" s="4" t="s">
        <v>37</v>
      </c>
      <c r="N81" s="4" t="s">
        <v>21</v>
      </c>
      <c r="O81" s="4"/>
      <c r="P81" s="4"/>
      <c r="Q81" s="4" t="s">
        <v>302</v>
      </c>
      <c r="R81" s="4" t="str">
        <f>TEXT("4454896349912137723","0")</f>
        <v>4454896349912130000</v>
      </c>
      <c r="S81" s="6" t="str">
        <f>HYPERLINK("https://www.jotform.com/edit/4454896349912137723","Edit Submission")</f>
        <v>Edit Submission</v>
      </c>
      <c r="T81" s="7">
        <v>0</v>
      </c>
    </row>
    <row r="82" spans="1:20" ht="15">
      <c r="A82" s="3">
        <v>43736.389918981484</v>
      </c>
      <c r="B82" s="4" t="s">
        <v>15</v>
      </c>
      <c r="C82" s="4" t="s">
        <v>303</v>
      </c>
      <c r="D82" s="15">
        <f t="shared" si="7"/>
        <v>43709</v>
      </c>
      <c r="E82" s="15" t="s">
        <v>358</v>
      </c>
      <c r="F82" s="21" t="str">
        <f t="shared" si="8"/>
        <v>reggel</v>
      </c>
      <c r="G82" s="4">
        <f t="shared" si="9"/>
        <v>8</v>
      </c>
      <c r="H82" s="5">
        <v>0.34652777777777777</v>
      </c>
      <c r="I82" s="4" t="s">
        <v>304</v>
      </c>
      <c r="J82" s="4" t="str">
        <f t="shared" si="10"/>
        <v>Tordátfalva</v>
      </c>
      <c r="K82" s="10" t="s">
        <v>18</v>
      </c>
      <c r="L82" s="4" t="s">
        <v>29</v>
      </c>
      <c r="M82" s="4" t="s">
        <v>30</v>
      </c>
      <c r="N82" s="4"/>
      <c r="O82" s="4"/>
      <c r="P82" s="4"/>
      <c r="Q82" s="4" t="s">
        <v>302</v>
      </c>
      <c r="R82" s="4" t="str">
        <f>TEXT("4454896899913053353","0")</f>
        <v>4454896899913050000</v>
      </c>
      <c r="S82" s="6" t="str">
        <f>HYPERLINK("https://www.jotform.com/edit/4454896899913053353","Edit Submission")</f>
        <v>Edit Submission</v>
      </c>
    </row>
    <row r="83" spans="1:20" ht="15">
      <c r="A83" s="3">
        <v>43738.323252314818</v>
      </c>
      <c r="B83" s="4" t="s">
        <v>305</v>
      </c>
      <c r="C83" s="4" t="s">
        <v>306</v>
      </c>
      <c r="D83" s="15">
        <f t="shared" si="7"/>
        <v>43709</v>
      </c>
      <c r="E83" s="15" t="s">
        <v>358</v>
      </c>
      <c r="F83" s="21" t="str">
        <f t="shared" si="8"/>
        <v>délután</v>
      </c>
      <c r="G83" s="4">
        <f t="shared" si="9"/>
        <v>15</v>
      </c>
      <c r="H83" s="5">
        <v>0.65625</v>
      </c>
      <c r="I83" s="4" t="s">
        <v>161</v>
      </c>
      <c r="J83" s="4" t="str">
        <f t="shared" si="10"/>
        <v>Abásfalva</v>
      </c>
      <c r="K83" s="10" t="s">
        <v>18</v>
      </c>
      <c r="L83" s="4" t="s">
        <v>91</v>
      </c>
      <c r="M83" s="4" t="s">
        <v>37</v>
      </c>
      <c r="N83" s="4"/>
      <c r="O83" s="4"/>
      <c r="P83" s="4"/>
      <c r="Q83" s="4" t="s">
        <v>307</v>
      </c>
      <c r="R83" s="4" t="str">
        <f>TEXT("4456567299994393007","0")</f>
        <v>4456567299994390000</v>
      </c>
      <c r="S83" s="6" t="str">
        <f>HYPERLINK("https://www.jotform.com/edit/4456567299994393007","Edit Submission")</f>
        <v>Edit Submission</v>
      </c>
      <c r="T83" s="7">
        <v>0</v>
      </c>
    </row>
    <row r="84" spans="1:20" ht="15">
      <c r="A84" s="3">
        <v>43752.631215277775</v>
      </c>
      <c r="B84" s="4" t="s">
        <v>54</v>
      </c>
      <c r="C84" s="8">
        <v>43809</v>
      </c>
      <c r="D84" s="15">
        <f t="shared" si="7"/>
        <v>43800</v>
      </c>
      <c r="E84" s="15" t="s">
        <v>352</v>
      </c>
      <c r="F84" s="21" t="str">
        <f t="shared" si="8"/>
        <v>délután</v>
      </c>
      <c r="G84" s="4">
        <f t="shared" si="9"/>
        <v>18</v>
      </c>
      <c r="H84" s="5">
        <v>0.75347222222222221</v>
      </c>
      <c r="I84" s="4" t="s">
        <v>308</v>
      </c>
      <c r="J84" s="4" t="str">
        <f t="shared" si="10"/>
        <v>Vámosudvarhely</v>
      </c>
      <c r="K84" s="10" t="s">
        <v>18</v>
      </c>
      <c r="L84" s="4" t="s">
        <v>91</v>
      </c>
      <c r="M84" s="4" t="s">
        <v>37</v>
      </c>
      <c r="N84" s="4"/>
      <c r="O84" s="4"/>
      <c r="P84" s="6" t="s">
        <v>309</v>
      </c>
      <c r="Q84" s="4" t="s">
        <v>310</v>
      </c>
      <c r="R84" s="4" t="str">
        <f>TEXT("4468929378712405437","0")</f>
        <v>4468929378712400000</v>
      </c>
      <c r="S84" s="6" t="str">
        <f>HYPERLINK("https://www.jotform.com/edit/4468929378712405437","Edit Submission")</f>
        <v>Edit Submission</v>
      </c>
      <c r="T84" s="7"/>
    </row>
    <row r="85" spans="1:20" ht="15">
      <c r="A85" s="3">
        <v>43752.632824074077</v>
      </c>
      <c r="B85" s="4" t="s">
        <v>15</v>
      </c>
      <c r="C85" s="4" t="s">
        <v>311</v>
      </c>
      <c r="D85" s="15">
        <f t="shared" si="7"/>
        <v>43739</v>
      </c>
      <c r="E85" s="15" t="s">
        <v>360</v>
      </c>
      <c r="F85" s="21" t="str">
        <f t="shared" si="8"/>
        <v>este</v>
      </c>
      <c r="G85" s="4">
        <f t="shared" si="9"/>
        <v>20</v>
      </c>
      <c r="H85" s="5">
        <v>0.83958333333333335</v>
      </c>
      <c r="I85" s="4" t="s">
        <v>96</v>
      </c>
      <c r="J85" s="4" t="str">
        <f t="shared" si="10"/>
        <v>Székelyudvarhely</v>
      </c>
      <c r="K85" s="11" t="s">
        <v>312</v>
      </c>
      <c r="L85" s="4" t="s">
        <v>29</v>
      </c>
      <c r="M85" s="4" t="s">
        <v>30</v>
      </c>
      <c r="N85" s="4"/>
      <c r="O85" s="4"/>
      <c r="P85" s="6" t="s">
        <v>313</v>
      </c>
      <c r="Q85" s="4" t="s">
        <v>310</v>
      </c>
      <c r="R85" s="4" t="str">
        <f>TEXT("4468930768714479812","0")</f>
        <v>4468930768714470000</v>
      </c>
      <c r="S85" s="6" t="str">
        <f>HYPERLINK("https://www.jotform.com/edit/4468930768714479812","Edit Submission")</f>
        <v>Edit Submission</v>
      </c>
      <c r="T85" s="7"/>
    </row>
    <row r="86" spans="1:20" ht="15">
      <c r="A86" s="3">
        <v>43753.521319444444</v>
      </c>
      <c r="B86" s="4" t="s">
        <v>122</v>
      </c>
      <c r="C86" s="4" t="s">
        <v>311</v>
      </c>
      <c r="D86" s="15">
        <f t="shared" si="7"/>
        <v>43739</v>
      </c>
      <c r="E86" s="15" t="s">
        <v>360</v>
      </c>
      <c r="F86" s="21" t="str">
        <f t="shared" si="8"/>
        <v>este</v>
      </c>
      <c r="G86" s="4">
        <f t="shared" si="9"/>
        <v>20</v>
      </c>
      <c r="H86" s="5">
        <v>0.85347222222222219</v>
      </c>
      <c r="I86" s="4" t="s">
        <v>314</v>
      </c>
      <c r="J86" s="4" t="str">
        <f t="shared" si="10"/>
        <v>Felsőkomána</v>
      </c>
      <c r="K86" s="10" t="s">
        <v>18</v>
      </c>
      <c r="L86" s="4" t="s">
        <v>29</v>
      </c>
      <c r="M86" s="4" t="s">
        <v>37</v>
      </c>
      <c r="N86" s="4"/>
      <c r="O86" s="4"/>
      <c r="P86" s="6" t="s">
        <v>315</v>
      </c>
      <c r="Q86" s="4" t="s">
        <v>310</v>
      </c>
      <c r="R86" s="4" t="str">
        <f>TEXT("4469698428713550976","0")</f>
        <v>4469698428713550000</v>
      </c>
      <c r="S86" s="6" t="str">
        <f>HYPERLINK("https://www.jotform.com/edit/4469698428713550976","Edit Submission")</f>
        <v>Edit Submission</v>
      </c>
      <c r="T86" s="7"/>
    </row>
    <row r="87" spans="1:20" ht="15">
      <c r="A87" s="3">
        <v>43753.522962962961</v>
      </c>
      <c r="B87" s="4" t="s">
        <v>15</v>
      </c>
      <c r="C87" s="4" t="s">
        <v>316</v>
      </c>
      <c r="D87" s="15">
        <f t="shared" si="7"/>
        <v>43739</v>
      </c>
      <c r="E87" s="15" t="s">
        <v>360</v>
      </c>
      <c r="F87" s="21" t="str">
        <f t="shared" si="8"/>
        <v>este</v>
      </c>
      <c r="G87" s="4">
        <f t="shared" si="9"/>
        <v>23</v>
      </c>
      <c r="H87" s="5">
        <v>0.97916666666666663</v>
      </c>
      <c r="I87" s="4" t="s">
        <v>41</v>
      </c>
      <c r="J87" s="4" t="str">
        <f t="shared" si="10"/>
        <v>Tusnádfürdő</v>
      </c>
      <c r="K87" s="10" t="s">
        <v>18</v>
      </c>
      <c r="L87" s="4" t="s">
        <v>29</v>
      </c>
      <c r="M87" s="4" t="s">
        <v>30</v>
      </c>
      <c r="N87" s="4"/>
      <c r="O87" s="4"/>
      <c r="P87" s="6" t="s">
        <v>317</v>
      </c>
      <c r="Q87" s="4" t="s">
        <v>310</v>
      </c>
      <c r="R87" s="4" t="str">
        <f>TEXT("4469699848714187993","0")</f>
        <v>4469699848714180000</v>
      </c>
      <c r="S87" s="6" t="str">
        <f>HYPERLINK("https://www.jotform.com/edit/4469699848714187993","Edit Submission")</f>
        <v>Edit Submission</v>
      </c>
      <c r="T87" s="7"/>
    </row>
    <row r="88" spans="1:20" ht="15">
      <c r="A88" s="3">
        <v>43755.273564814815</v>
      </c>
      <c r="B88" s="4" t="s">
        <v>15</v>
      </c>
      <c r="C88" s="4" t="s">
        <v>318</v>
      </c>
      <c r="D88" s="15">
        <f t="shared" si="7"/>
        <v>43739</v>
      </c>
      <c r="E88" s="15" t="s">
        <v>360</v>
      </c>
      <c r="F88" s="21" t="str">
        <f t="shared" si="8"/>
        <v>reggel</v>
      </c>
      <c r="G88" s="4">
        <f t="shared" si="9"/>
        <v>12</v>
      </c>
      <c r="H88" s="5">
        <v>0.5229166666666667</v>
      </c>
      <c r="I88" s="4" t="s">
        <v>319</v>
      </c>
      <c r="J88" s="4" t="str">
        <f t="shared" si="10"/>
        <v>Sugásfürdő</v>
      </c>
      <c r="K88" s="10" t="s">
        <v>320</v>
      </c>
      <c r="L88" s="4" t="s">
        <v>91</v>
      </c>
      <c r="M88" s="4" t="s">
        <v>43</v>
      </c>
      <c r="N88" s="4"/>
      <c r="O88" s="6" t="s">
        <v>321</v>
      </c>
      <c r="P88" s="6" t="s">
        <v>322</v>
      </c>
      <c r="Q88" s="4" t="s">
        <v>294</v>
      </c>
      <c r="R88" s="4" t="str">
        <f>TEXT("4471212364915421485","0")</f>
        <v>4471212364915420000</v>
      </c>
      <c r="S88" s="6" t="str">
        <f>HYPERLINK("https://www.jotform.com/edit/4471212364915421485","Edit Submission")</f>
        <v>Edit Submission</v>
      </c>
      <c r="T88" s="7"/>
    </row>
    <row r="89" spans="1:20" ht="15">
      <c r="A89" s="3">
        <v>43764.115428240744</v>
      </c>
      <c r="B89" s="4" t="s">
        <v>73</v>
      </c>
      <c r="C89" s="4" t="s">
        <v>323</v>
      </c>
      <c r="D89" s="15">
        <f t="shared" si="7"/>
        <v>43739</v>
      </c>
      <c r="E89" s="15" t="s">
        <v>360</v>
      </c>
      <c r="F89" s="21" t="str">
        <f t="shared" si="8"/>
        <v>éjjel</v>
      </c>
      <c r="G89" s="4">
        <f t="shared" si="9"/>
        <v>1</v>
      </c>
      <c r="H89" s="5">
        <v>6.25E-2</v>
      </c>
      <c r="I89" s="4" t="s">
        <v>324</v>
      </c>
      <c r="J89" s="4" t="str">
        <f t="shared" si="10"/>
        <v>Nyárádkarácson</v>
      </c>
      <c r="K89" s="10" t="s">
        <v>18</v>
      </c>
      <c r="L89" s="4" t="s">
        <v>29</v>
      </c>
      <c r="M89" s="4" t="s">
        <v>43</v>
      </c>
      <c r="N89" s="4"/>
      <c r="O89" s="4"/>
      <c r="P89" s="4" t="s">
        <v>325</v>
      </c>
      <c r="Q89" s="4" t="s">
        <v>326</v>
      </c>
      <c r="R89" s="4" t="str">
        <f>TEXT("4478851739555961508","0")</f>
        <v>4478851739555960000</v>
      </c>
      <c r="S89" s="6" t="str">
        <f>HYPERLINK("https://www.jotform.com/edit/4478851739555961508","Edit Submission")</f>
        <v>Edit Submission</v>
      </c>
      <c r="T89" s="7"/>
    </row>
    <row r="90" spans="1:20" ht="15">
      <c r="A90" s="3">
        <v>43765.738877314812</v>
      </c>
      <c r="B90" s="4" t="s">
        <v>305</v>
      </c>
      <c r="C90" s="9">
        <v>43320</v>
      </c>
      <c r="D90" s="15">
        <f t="shared" si="7"/>
        <v>43678</v>
      </c>
      <c r="E90" s="15" t="s">
        <v>354</v>
      </c>
      <c r="F90" s="21" t="str">
        <f t="shared" si="8"/>
        <v>délután</v>
      </c>
      <c r="G90" s="4">
        <f t="shared" si="9"/>
        <v>14</v>
      </c>
      <c r="H90" s="5">
        <v>0.61111111111111116</v>
      </c>
      <c r="I90" s="4" t="s">
        <v>327</v>
      </c>
      <c r="J90" s="4" t="str">
        <f t="shared" si="10"/>
        <v>Ivómezeje</v>
      </c>
      <c r="K90" s="10" t="s">
        <v>328</v>
      </c>
      <c r="L90" s="4" t="s">
        <v>29</v>
      </c>
      <c r="M90" s="4"/>
      <c r="N90" s="4"/>
      <c r="O90" s="4"/>
      <c r="P90" s="4"/>
      <c r="Q90" s="4" t="s">
        <v>329</v>
      </c>
      <c r="R90" s="4" t="str">
        <f>TEXT("4480254390518145364","0")</f>
        <v>4480254390518140000</v>
      </c>
      <c r="S90" s="6" t="str">
        <f>HYPERLINK("https://www.jotform.com/edit/4480254390518145364","Edit Submission")</f>
        <v>Edit Submission</v>
      </c>
      <c r="T90" s="7"/>
    </row>
    <row r="91" spans="1:20" ht="15">
      <c r="A91" s="3">
        <v>43769.584861111114</v>
      </c>
      <c r="B91" s="4" t="s">
        <v>15</v>
      </c>
      <c r="C91" s="4" t="s">
        <v>330</v>
      </c>
      <c r="D91" s="15">
        <f t="shared" si="7"/>
        <v>43739</v>
      </c>
      <c r="E91" s="15" t="s">
        <v>360</v>
      </c>
      <c r="F91" s="21" t="str">
        <f t="shared" si="8"/>
        <v>este</v>
      </c>
      <c r="G91" s="4">
        <f t="shared" si="9"/>
        <v>21</v>
      </c>
      <c r="H91" s="5">
        <v>0.91597222222222219</v>
      </c>
      <c r="I91" s="4" t="s">
        <v>331</v>
      </c>
      <c r="J91" s="4" t="str">
        <f t="shared" si="10"/>
        <v>Telekfalva</v>
      </c>
      <c r="K91" s="10" t="s">
        <v>18</v>
      </c>
      <c r="L91" s="4" t="s">
        <v>82</v>
      </c>
      <c r="M91" s="4" t="s">
        <v>30</v>
      </c>
      <c r="N91" s="4"/>
      <c r="O91" s="4"/>
      <c r="P91" s="4"/>
      <c r="Q91" s="4" t="s">
        <v>332</v>
      </c>
      <c r="R91" s="4" t="str">
        <f>TEXT("4483577322718414389","0")</f>
        <v>4483577322718410000</v>
      </c>
      <c r="S91" s="6" t="str">
        <f>HYPERLINK("https://www.jotform.com/edit/4483577322718414389","Edit Submission")</f>
        <v>Edit Submission</v>
      </c>
      <c r="T91" s="7"/>
    </row>
    <row r="92" spans="1:20" ht="15">
      <c r="A92" s="3">
        <v>43772.128078703703</v>
      </c>
      <c r="B92" s="4" t="s">
        <v>73</v>
      </c>
      <c r="C92" s="4" t="s">
        <v>333</v>
      </c>
      <c r="D92" s="15">
        <f t="shared" si="7"/>
        <v>43739</v>
      </c>
      <c r="E92" s="15" t="s">
        <v>360</v>
      </c>
      <c r="F92" s="21" t="str">
        <f t="shared" si="8"/>
        <v>reggel</v>
      </c>
      <c r="G92" s="4">
        <f t="shared" si="9"/>
        <v>9</v>
      </c>
      <c r="H92" s="5">
        <v>0.37569444444444444</v>
      </c>
      <c r="I92" s="4" t="s">
        <v>165</v>
      </c>
      <c r="J92" s="4" t="str">
        <f t="shared" si="10"/>
        <v>Lövéte</v>
      </c>
      <c r="K92" s="10" t="s">
        <v>18</v>
      </c>
      <c r="L92" s="4" t="s">
        <v>29</v>
      </c>
      <c r="M92" s="4"/>
      <c r="N92" s="4"/>
      <c r="O92" s="4"/>
      <c r="P92" s="4"/>
      <c r="Q92" s="4" t="s">
        <v>167</v>
      </c>
      <c r="R92" s="4" t="str">
        <f>TEXT("4485774651572088992","0")</f>
        <v>4485774651572080000</v>
      </c>
      <c r="S92" s="6" t="str">
        <f>HYPERLINK("https://www.jotform.com/edit/4485774651572088992","Edit Submission")</f>
        <v>Edit Submission</v>
      </c>
    </row>
    <row r="93" spans="1:20" ht="15">
      <c r="A93" s="3">
        <v>43772.134710648148</v>
      </c>
      <c r="B93" s="4" t="s">
        <v>305</v>
      </c>
      <c r="C93" s="9">
        <v>43535</v>
      </c>
      <c r="D93" s="15">
        <f t="shared" si="7"/>
        <v>43525</v>
      </c>
      <c r="E93" s="15" t="s">
        <v>351</v>
      </c>
      <c r="F93" s="21" t="str">
        <f t="shared" si="8"/>
        <v>reggel</v>
      </c>
      <c r="G93" s="4">
        <f t="shared" si="9"/>
        <v>9</v>
      </c>
      <c r="H93" s="5">
        <v>0.38263888888888886</v>
      </c>
      <c r="I93" s="4" t="s">
        <v>165</v>
      </c>
      <c r="J93" s="4" t="str">
        <f t="shared" si="10"/>
        <v>Lövéte</v>
      </c>
      <c r="K93" s="10" t="s">
        <v>334</v>
      </c>
      <c r="L93" s="4" t="s">
        <v>29</v>
      </c>
      <c r="M93" s="4"/>
      <c r="N93" s="4"/>
      <c r="O93" s="4"/>
      <c r="P93" s="4"/>
      <c r="Q93" s="4" t="s">
        <v>167</v>
      </c>
      <c r="R93" s="4" t="str">
        <f>TEXT("4485780391577817588","0")</f>
        <v>4485780391577810000</v>
      </c>
      <c r="S93" s="6" t="str">
        <f>HYPERLINK("https://www.jotform.com/edit/4485780391577817588","Edit Submission")</f>
        <v>Edit Submission</v>
      </c>
      <c r="T93" s="7"/>
    </row>
    <row r="94" spans="1:20" ht="15">
      <c r="A94" s="3">
        <v>43772.178900462961</v>
      </c>
      <c r="B94" s="4" t="s">
        <v>15</v>
      </c>
      <c r="C94" s="9">
        <v>43535</v>
      </c>
      <c r="D94" s="15">
        <f t="shared" si="7"/>
        <v>43525</v>
      </c>
      <c r="E94" s="15" t="s">
        <v>351</v>
      </c>
      <c r="F94" s="21" t="str">
        <f t="shared" si="8"/>
        <v>reggel</v>
      </c>
      <c r="G94" s="4">
        <f t="shared" si="9"/>
        <v>10</v>
      </c>
      <c r="H94" s="5">
        <v>0.42499999999999999</v>
      </c>
      <c r="I94" s="4" t="s">
        <v>165</v>
      </c>
      <c r="J94" s="4" t="str">
        <f t="shared" si="10"/>
        <v>Lövéte</v>
      </c>
      <c r="K94" s="10" t="s">
        <v>335</v>
      </c>
      <c r="L94" s="4" t="s">
        <v>29</v>
      </c>
      <c r="M94" s="4" t="s">
        <v>43</v>
      </c>
      <c r="N94" s="4"/>
      <c r="O94" s="6" t="s">
        <v>336</v>
      </c>
      <c r="P94" s="4"/>
      <c r="Q94" s="4" t="s">
        <v>167</v>
      </c>
      <c r="R94" s="4" t="str">
        <f>TEXT("4485818561578882047","0")</f>
        <v>4485818561578880000</v>
      </c>
      <c r="S94" s="6" t="str">
        <f>HYPERLINK("https://www.jotform.com/edit/4485818561578882047","Edit Submission")</f>
        <v>Edit Submission</v>
      </c>
      <c r="T94" s="7"/>
    </row>
    <row r="95" spans="1:20" ht="15">
      <c r="A95" s="3">
        <v>43772.315162037034</v>
      </c>
      <c r="B95" s="4" t="s">
        <v>305</v>
      </c>
      <c r="C95" s="9">
        <v>43535</v>
      </c>
      <c r="D95" s="15">
        <f t="shared" si="7"/>
        <v>43525</v>
      </c>
      <c r="E95" s="15" t="s">
        <v>351</v>
      </c>
      <c r="F95" s="21" t="str">
        <f t="shared" si="8"/>
        <v>reggel</v>
      </c>
      <c r="G95" s="4">
        <f t="shared" si="9"/>
        <v>12</v>
      </c>
      <c r="H95" s="5">
        <v>0.5229166666666667</v>
      </c>
      <c r="I95" s="4" t="s">
        <v>165</v>
      </c>
      <c r="J95" s="4" t="str">
        <f t="shared" si="10"/>
        <v>Lövéte</v>
      </c>
      <c r="K95" s="10" t="s">
        <v>18</v>
      </c>
      <c r="L95" s="4" t="s">
        <v>65</v>
      </c>
      <c r="M95" s="4"/>
      <c r="N95" s="4"/>
      <c r="O95" s="4"/>
      <c r="P95" s="4" t="s">
        <v>337</v>
      </c>
      <c r="Q95" s="4" t="s">
        <v>338</v>
      </c>
      <c r="R95" s="4" t="str">
        <f>TEXT("4485936301318984777","0")</f>
        <v>4485936301318980000</v>
      </c>
      <c r="S95" s="6" t="str">
        <f>HYPERLINK("https://www.jotform.com/edit/4485936301318984777","Edit Submission")</f>
        <v>Edit Submission</v>
      </c>
      <c r="T95" s="7">
        <v>0</v>
      </c>
    </row>
    <row r="96" spans="1:20" ht="15">
      <c r="A96" s="3">
        <v>43778.739918981482</v>
      </c>
      <c r="B96" s="4" t="s">
        <v>15</v>
      </c>
      <c r="C96" s="9">
        <v>43688</v>
      </c>
      <c r="D96" s="15">
        <f t="shared" si="7"/>
        <v>43678</v>
      </c>
      <c r="E96" s="15" t="s">
        <v>354</v>
      </c>
      <c r="F96" s="21" t="str">
        <f t="shared" si="8"/>
        <v>reggel</v>
      </c>
      <c r="G96" s="4">
        <f t="shared" si="9"/>
        <v>11</v>
      </c>
      <c r="H96" s="5">
        <v>0.48749999999999999</v>
      </c>
      <c r="I96" s="4" t="s">
        <v>41</v>
      </c>
      <c r="J96" s="4" t="str">
        <f t="shared" si="10"/>
        <v>Tusnádfürdő</v>
      </c>
      <c r="K96" s="10" t="s">
        <v>18</v>
      </c>
      <c r="L96" s="4" t="s">
        <v>29</v>
      </c>
      <c r="M96" s="4" t="s">
        <v>30</v>
      </c>
      <c r="N96" s="4"/>
      <c r="O96" s="4"/>
      <c r="P96" s="4" t="s">
        <v>339</v>
      </c>
      <c r="Q96" s="4" t="s">
        <v>340</v>
      </c>
      <c r="R96" s="4" t="str">
        <f>TEXT("4491487298854110656","0")</f>
        <v>4491487298854110000</v>
      </c>
      <c r="S96" s="6" t="str">
        <f>HYPERLINK("https://www.jotform.com/edit/4491487298854110656","Edit Submission")</f>
        <v>Edit Submission</v>
      </c>
      <c r="T96" s="7"/>
    </row>
    <row r="97" spans="1:20" ht="15">
      <c r="A97" s="3">
        <v>43783.168229166666</v>
      </c>
      <c r="B97" s="4" t="s">
        <v>15</v>
      </c>
      <c r="C97" s="4" t="s">
        <v>341</v>
      </c>
      <c r="D97" s="15">
        <f t="shared" si="7"/>
        <v>43770</v>
      </c>
      <c r="E97" s="15" t="s">
        <v>362</v>
      </c>
      <c r="F97" s="21" t="str">
        <f t="shared" si="8"/>
        <v>reggel</v>
      </c>
      <c r="G97" s="4">
        <f t="shared" si="9"/>
        <v>7</v>
      </c>
      <c r="H97" s="5">
        <v>0.3125</v>
      </c>
      <c r="I97" s="4" t="s">
        <v>342</v>
      </c>
      <c r="J97" s="4" t="str">
        <f t="shared" si="10"/>
        <v>Erdőszentgyörgy</v>
      </c>
      <c r="K97" s="10" t="s">
        <v>343</v>
      </c>
      <c r="L97" s="4" t="s">
        <v>82</v>
      </c>
      <c r="M97" s="4" t="s">
        <v>30</v>
      </c>
      <c r="N97" s="4"/>
      <c r="O97" s="6" t="s">
        <v>344</v>
      </c>
      <c r="P97" s="6" t="s">
        <v>345</v>
      </c>
      <c r="Q97" s="4" t="s">
        <v>346</v>
      </c>
      <c r="R97" s="4" t="str">
        <f>TEXT("4495313353215811654","0")</f>
        <v>4495313353215810000</v>
      </c>
      <c r="S97" s="6" t="str">
        <f>HYPERLINK("https://www.jotform.com/edit/4495313353215811654","Edit Submission")</f>
        <v>Edit Submission</v>
      </c>
      <c r="T97" s="7"/>
    </row>
    <row r="98" spans="1:20" ht="15">
      <c r="A98" s="3">
        <v>43798.331724537034</v>
      </c>
      <c r="B98" s="4" t="s">
        <v>305</v>
      </c>
      <c r="C98" s="9">
        <v>43476</v>
      </c>
      <c r="D98" s="15">
        <f t="shared" si="7"/>
        <v>43466</v>
      </c>
      <c r="E98" s="15" t="s">
        <v>356</v>
      </c>
      <c r="F98" s="21" t="str">
        <f t="shared" si="8"/>
        <v>délután</v>
      </c>
      <c r="G98" s="4">
        <f t="shared" si="9"/>
        <v>13</v>
      </c>
      <c r="H98" s="5">
        <v>0.57986111111111116</v>
      </c>
      <c r="I98" s="4" t="s">
        <v>347</v>
      </c>
      <c r="J98" s="4" t="str">
        <f t="shared" si="10"/>
        <v>Szárhegy</v>
      </c>
      <c r="K98" s="10" t="s">
        <v>348</v>
      </c>
      <c r="L98" s="4" t="s">
        <v>29</v>
      </c>
      <c r="M98" s="4"/>
      <c r="N98" s="4"/>
      <c r="O98" s="4"/>
      <c r="P98" s="4"/>
      <c r="Q98" s="4" t="s">
        <v>349</v>
      </c>
      <c r="R98" s="4" t="str">
        <f>TEXT("4508414619423345451","0")</f>
        <v>4508414619423340000</v>
      </c>
      <c r="S98" s="6" t="str">
        <f>HYPERLINK("https://www.jotform.com/edit/4508414619423345451","Edit Submission")</f>
        <v>Edit Submission</v>
      </c>
      <c r="T98" s="7"/>
    </row>
    <row r="99" spans="1:20" ht="15">
      <c r="A99" s="12"/>
      <c r="B99" s="12"/>
      <c r="C99" s="12"/>
      <c r="D99" s="16"/>
      <c r="E99" s="22"/>
      <c r="F99" s="2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20" ht="15">
      <c r="A100" s="12"/>
      <c r="B100" s="12"/>
      <c r="C100" s="12"/>
      <c r="D100" s="16"/>
      <c r="E100" s="22"/>
      <c r="F100" s="2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20" ht="15">
      <c r="A101" s="12"/>
      <c r="B101" s="12"/>
      <c r="C101" s="12"/>
      <c r="D101" s="16"/>
      <c r="E101" s="22"/>
      <c r="F101" s="2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20" ht="15">
      <c r="A102" s="12"/>
      <c r="B102" s="12"/>
      <c r="C102" s="12"/>
      <c r="D102" s="16"/>
      <c r="E102" s="22"/>
      <c r="F102" s="2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20" ht="15">
      <c r="A103" s="12"/>
      <c r="B103" s="12"/>
      <c r="C103" s="12"/>
      <c r="D103" s="16"/>
      <c r="E103" s="22"/>
      <c r="F103" s="22"/>
      <c r="G103" s="12"/>
      <c r="H103" s="12"/>
      <c r="I103" s="12"/>
      <c r="J103" s="12"/>
      <c r="K103" s="11"/>
      <c r="L103" s="12"/>
      <c r="M103" s="12"/>
      <c r="N103" s="12"/>
      <c r="O103" s="12"/>
      <c r="P103" s="12"/>
      <c r="Q103" s="12"/>
      <c r="R103" s="12"/>
      <c r="S103" s="12"/>
    </row>
    <row r="104" spans="1:20" ht="15">
      <c r="A104" s="12"/>
      <c r="B104" s="12"/>
      <c r="C104" s="12"/>
      <c r="D104" s="16"/>
      <c r="E104" s="22"/>
      <c r="F104" s="22"/>
      <c r="G104" s="12"/>
      <c r="H104" s="12"/>
      <c r="I104" s="12"/>
      <c r="J104" s="12"/>
      <c r="K104" s="13"/>
      <c r="L104" s="12"/>
      <c r="M104" s="12"/>
      <c r="N104" s="12"/>
      <c r="O104" s="12"/>
      <c r="P104" s="12"/>
      <c r="Q104" s="12"/>
      <c r="R104" s="12"/>
      <c r="S104" s="12"/>
    </row>
    <row r="105" spans="1:20" ht="15">
      <c r="A105" s="12"/>
      <c r="B105" s="12"/>
      <c r="C105" s="12"/>
      <c r="D105" s="16"/>
      <c r="E105" s="22"/>
      <c r="F105" s="2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20" ht="15">
      <c r="A106" s="12"/>
      <c r="B106" s="12"/>
      <c r="C106" s="12"/>
      <c r="D106" s="16"/>
      <c r="E106" s="22"/>
      <c r="F106" s="2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spans="1:20" ht="15">
      <c r="A107" s="12"/>
      <c r="B107" s="12"/>
      <c r="C107" s="12"/>
      <c r="D107" s="16"/>
      <c r="E107" s="22"/>
      <c r="F107" s="2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spans="1:20" ht="15">
      <c r="A108" s="12"/>
      <c r="B108" s="12"/>
      <c r="C108" s="12"/>
      <c r="D108" s="16"/>
      <c r="E108" s="22"/>
      <c r="F108" s="2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20" ht="15">
      <c r="A109" s="12"/>
      <c r="B109" s="12"/>
      <c r="C109" s="12"/>
      <c r="D109" s="16"/>
      <c r="E109" s="22"/>
      <c r="F109" s="2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</sheetData>
  <hyperlinks>
    <hyperlink ref="O26" r:id="rId1" xr:uid="{00000000-0004-0000-0000-000000000000}"/>
    <hyperlink ref="P26" r:id="rId2" xr:uid="{00000000-0004-0000-0000-000001000000}"/>
    <hyperlink ref="O33" r:id="rId3" xr:uid="{00000000-0004-0000-0000-000002000000}"/>
    <hyperlink ref="O44" r:id="rId4" xr:uid="{00000000-0004-0000-0000-000003000000}"/>
    <hyperlink ref="O49" r:id="rId5" xr:uid="{00000000-0004-0000-0000-000004000000}"/>
    <hyperlink ref="O50" r:id="rId6" xr:uid="{00000000-0004-0000-0000-000005000000}"/>
    <hyperlink ref="O53" r:id="rId7" xr:uid="{00000000-0004-0000-0000-000006000000}"/>
    <hyperlink ref="O54" r:id="rId8" xr:uid="{00000000-0004-0000-0000-000007000000}"/>
    <hyperlink ref="P54" r:id="rId9" xr:uid="{00000000-0004-0000-0000-000008000000}"/>
    <hyperlink ref="O60" r:id="rId10" xr:uid="{00000000-0004-0000-0000-000009000000}"/>
    <hyperlink ref="O62" r:id="rId11" xr:uid="{00000000-0004-0000-0000-00000A000000}"/>
    <hyperlink ref="P63" r:id="rId12" xr:uid="{00000000-0004-0000-0000-00000B000000}"/>
    <hyperlink ref="O66" r:id="rId13" xr:uid="{00000000-0004-0000-0000-00000C000000}"/>
    <hyperlink ref="O71" r:id="rId14" xr:uid="{00000000-0004-0000-0000-00000D000000}"/>
    <hyperlink ref="P71" r:id="rId15" xr:uid="{00000000-0004-0000-0000-00000E000000}"/>
    <hyperlink ref="O72" r:id="rId16" xr:uid="{00000000-0004-0000-0000-00000F000000}"/>
    <hyperlink ref="P72" r:id="rId17" xr:uid="{00000000-0004-0000-0000-000010000000}"/>
    <hyperlink ref="O74" r:id="rId18" xr:uid="{00000000-0004-0000-0000-000011000000}"/>
    <hyperlink ref="P74" r:id="rId19" xr:uid="{00000000-0004-0000-0000-000012000000}"/>
    <hyperlink ref="P75" r:id="rId20" xr:uid="{00000000-0004-0000-0000-000013000000}"/>
    <hyperlink ref="O76" r:id="rId21" xr:uid="{00000000-0004-0000-0000-000014000000}"/>
    <hyperlink ref="O78" r:id="rId22" xr:uid="{00000000-0004-0000-0000-000015000000}"/>
    <hyperlink ref="P78" r:id="rId23" xr:uid="{00000000-0004-0000-0000-000016000000}"/>
    <hyperlink ref="O80" r:id="rId24" xr:uid="{00000000-0004-0000-0000-000017000000}"/>
    <hyperlink ref="P84" r:id="rId25" xr:uid="{00000000-0004-0000-0000-000018000000}"/>
    <hyperlink ref="P85" r:id="rId26" xr:uid="{00000000-0004-0000-0000-000019000000}"/>
    <hyperlink ref="P86" r:id="rId27" xr:uid="{00000000-0004-0000-0000-00001A000000}"/>
    <hyperlink ref="P87" r:id="rId28" xr:uid="{00000000-0004-0000-0000-00001B000000}"/>
    <hyperlink ref="O88" r:id="rId29" xr:uid="{00000000-0004-0000-0000-00001C000000}"/>
    <hyperlink ref="P88" r:id="rId30" xr:uid="{00000000-0004-0000-0000-00001D000000}"/>
    <hyperlink ref="O94" r:id="rId31" xr:uid="{00000000-0004-0000-0000-00001E000000}"/>
    <hyperlink ref="O97" r:id="rId32" xr:uid="{00000000-0004-0000-0000-00001F000000}"/>
    <hyperlink ref="P97" r:id="rId33" xr:uid="{00000000-0004-0000-0000-000020000000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398E-CAD1-45BF-ABA5-AF558EFDB365}">
  <dimension ref="A3:B9"/>
  <sheetViews>
    <sheetView workbookViewId="0">
      <selection activeCell="A19" sqref="A19"/>
    </sheetView>
  </sheetViews>
  <sheetFormatPr defaultRowHeight="12.75"/>
  <cols>
    <col min="1" max="1" width="31.85546875" bestFit="1" customWidth="1"/>
    <col min="2" max="2" width="35.7109375" bestFit="1" customWidth="1"/>
  </cols>
  <sheetData>
    <row r="3" spans="1:2">
      <c r="A3" s="18" t="s">
        <v>1</v>
      </c>
      <c r="B3" t="s">
        <v>350</v>
      </c>
    </row>
    <row r="4" spans="1:2">
      <c r="A4" t="s">
        <v>73</v>
      </c>
      <c r="B4" s="19">
        <v>9</v>
      </c>
    </row>
    <row r="5" spans="1:2">
      <c r="A5" t="s">
        <v>54</v>
      </c>
      <c r="B5" s="19">
        <v>3</v>
      </c>
    </row>
    <row r="6" spans="1:2">
      <c r="A6" t="s">
        <v>122</v>
      </c>
      <c r="B6" s="19">
        <v>6</v>
      </c>
    </row>
    <row r="7" spans="1:2">
      <c r="A7" t="s">
        <v>26</v>
      </c>
      <c r="B7" s="19">
        <v>5</v>
      </c>
    </row>
    <row r="8" spans="1:2">
      <c r="A8" t="s">
        <v>305</v>
      </c>
      <c r="B8" s="19">
        <v>5</v>
      </c>
    </row>
    <row r="9" spans="1:2">
      <c r="A9" t="s">
        <v>15</v>
      </c>
      <c r="B9" s="19">
        <v>69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Csala, Dénes</cp:lastModifiedBy>
  <dcterms:modified xsi:type="dcterms:W3CDTF">2020-01-16T22:48:54Z</dcterms:modified>
</cp:coreProperties>
</file>