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Dashboards\KELL - Udemy - Microsoft Excel - Advanced Excel Dashboard Design\1. Getting Started\Completed Workbooks\"/>
    </mc:Choice>
  </mc:AlternateContent>
  <xr:revisionPtr revIDLastSave="0" documentId="13_ncr:1_{F700A3B7-B8A4-436F-9E35-40509A1757D2}" xr6:coauthVersionLast="47" xr6:coauthVersionMax="47" xr10:uidLastSave="{00000000-0000-0000-0000-000000000000}"/>
  <bookViews>
    <workbookView xWindow="14670" yWindow="780" windowWidth="34755" windowHeight="19920" activeTab="6" xr2:uid="{EA944FB1-DE3F-40F9-BBAA-0980B1568DEE}"/>
  </bookViews>
  <sheets>
    <sheet name="Data Prep" sheetId="22" r:id="rId1"/>
    <sheet name="Dashboard" sheetId="24" r:id="rId2"/>
    <sheet name="New Data (Aug 2021)" sheetId="21" r:id="rId3"/>
    <sheet name="New Data (Sep 2021)" sheetId="18" r:id="rId4"/>
    <sheet name="Data" sheetId="16" r:id="rId5"/>
    <sheet name="Pivots" sheetId="25" r:id="rId6"/>
    <sheet name="Dash" sheetId="26" r:id="rId7"/>
  </sheets>
  <definedNames>
    <definedName name="_xlnm._FilterDatabase" localSheetId="4" hidden="1">Data!$A$1:$J$4795</definedName>
    <definedName name="_xlnm._FilterDatabase" localSheetId="0" hidden="1">'Data Prep'!$G$2:$J$14</definedName>
    <definedName name="CurMonth">'Data Prep'!$B$9</definedName>
    <definedName name="CurrentMonth">Pivots!$B$9</definedName>
    <definedName name="CurrentYear">Pivots!$B$8</definedName>
    <definedName name="CurYear">'Data Prep'!$B$8</definedName>
    <definedName name="PMYear">'Data Prep'!$B$12</definedName>
    <definedName name="PreviousMonth">Pivots!$B$11</definedName>
    <definedName name="PreviousMonthYear">Pivots!$B$12</definedName>
    <definedName name="PreviousYear">Pivots!$B$10</definedName>
    <definedName name="PrevMonth">'Data Prep'!$B$11</definedName>
    <definedName name="PrevYear">'Data Prep'!$B$10</definedName>
    <definedName name="Region">Pivots!$B$3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5" l="1"/>
  <c r="F6" i="26" s="1"/>
  <c r="U4" i="25"/>
  <c r="U5" i="25"/>
  <c r="U6" i="25"/>
  <c r="U7" i="25"/>
  <c r="U8" i="25"/>
  <c r="U9" i="25"/>
  <c r="U10" i="25"/>
  <c r="U11" i="25"/>
  <c r="U12" i="25"/>
  <c r="U3" i="25"/>
  <c r="B3" i="25"/>
  <c r="Y4" i="25" s="1"/>
  <c r="B8" i="25"/>
  <c r="B10" i="25" s="1"/>
  <c r="I2" i="25" s="1"/>
  <c r="B3" i="22"/>
  <c r="X5" i="25" l="1"/>
  <c r="X6" i="25"/>
  <c r="Y3" i="25"/>
  <c r="X4" i="25"/>
  <c r="Y12" i="25"/>
  <c r="Y11" i="25"/>
  <c r="X3" i="25"/>
  <c r="Y10" i="25"/>
  <c r="X12" i="25"/>
  <c r="Y9" i="25"/>
  <c r="Y8" i="25"/>
  <c r="X10" i="25"/>
  <c r="Y7" i="25"/>
  <c r="X9" i="25"/>
  <c r="Y6" i="25"/>
  <c r="X8" i="25"/>
  <c r="Y5" i="25"/>
  <c r="X11" i="25"/>
  <c r="X7" i="25"/>
  <c r="I5" i="25"/>
  <c r="I6" i="25"/>
  <c r="I8" i="25"/>
  <c r="I9" i="25"/>
  <c r="I3" i="25"/>
  <c r="I7" i="25"/>
  <c r="I10" i="25"/>
  <c r="I11" i="25"/>
  <c r="I12" i="25"/>
  <c r="I13" i="25"/>
  <c r="I14" i="25"/>
  <c r="I4" i="25"/>
  <c r="J2" i="25"/>
  <c r="B9" i="25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AB30" i="25" l="1"/>
  <c r="K4" i="25"/>
  <c r="K7" i="25"/>
  <c r="K3" i="25"/>
  <c r="K8" i="25"/>
  <c r="K9" i="25"/>
  <c r="K13" i="25"/>
  <c r="K14" i="25"/>
  <c r="K5" i="25"/>
  <c r="K10" i="25"/>
  <c r="K12" i="25"/>
  <c r="K6" i="25"/>
  <c r="AB37" i="25"/>
  <c r="AB15" i="25"/>
  <c r="AB20" i="25"/>
  <c r="AB27" i="25"/>
  <c r="AB5" i="25"/>
  <c r="AB39" i="25"/>
  <c r="AB17" i="25"/>
  <c r="AB7" i="25"/>
  <c r="AB9" i="25"/>
  <c r="AB12" i="25"/>
  <c r="AB29" i="25"/>
  <c r="AB31" i="25"/>
  <c r="AB25" i="25"/>
  <c r="AB3" i="25"/>
  <c r="AB42" i="25"/>
  <c r="AB33" i="25"/>
  <c r="AB24" i="25"/>
  <c r="AB41" i="25"/>
  <c r="AB36" i="25"/>
  <c r="AB14" i="25"/>
  <c r="AB8" i="25"/>
  <c r="AB11" i="25"/>
  <c r="AB26" i="25"/>
  <c r="AB4" i="25"/>
  <c r="AB32" i="25"/>
  <c r="AB23" i="25"/>
  <c r="AB38" i="25"/>
  <c r="AB16" i="25"/>
  <c r="AB35" i="25"/>
  <c r="AB10" i="25"/>
  <c r="AB28" i="25"/>
  <c r="AB6" i="25"/>
  <c r="AB22" i="25"/>
  <c r="AB40" i="25"/>
  <c r="AB18" i="25"/>
  <c r="AB21" i="25"/>
  <c r="AB19" i="25"/>
  <c r="AB34" i="25"/>
  <c r="AB13" i="25"/>
  <c r="N10" i="25"/>
  <c r="J3" i="25"/>
  <c r="J4" i="25"/>
  <c r="N5" i="25"/>
  <c r="J5" i="25"/>
  <c r="N3" i="25"/>
  <c r="J6" i="25"/>
  <c r="J9" i="25"/>
  <c r="N4" i="25"/>
  <c r="N8" i="25"/>
  <c r="J7" i="25"/>
  <c r="J8" i="25"/>
  <c r="J12" i="25"/>
  <c r="N12" i="25"/>
  <c r="J10" i="25"/>
  <c r="J13" i="25"/>
  <c r="N11" i="25"/>
  <c r="N7" i="25"/>
  <c r="J11" i="25"/>
  <c r="K11" i="25" s="1"/>
  <c r="J14" i="25"/>
  <c r="N9" i="25"/>
  <c r="N6" i="25"/>
  <c r="E3" i="25"/>
  <c r="B11" i="25"/>
  <c r="B12" i="25"/>
  <c r="E2" i="25"/>
  <c r="B9" i="22"/>
  <c r="B13" i="22" s="1"/>
  <c r="E6" i="24" s="1"/>
  <c r="B10" i="22"/>
  <c r="I2" i="22" s="1"/>
  <c r="AC4" i="25" l="1"/>
  <c r="AD4" i="25" s="1"/>
  <c r="AC10" i="25"/>
  <c r="AD10" i="25" s="1"/>
  <c r="AC32" i="25"/>
  <c r="AD32" i="25" s="1"/>
  <c r="AC20" i="25"/>
  <c r="AD20" i="25" s="1"/>
  <c r="AC42" i="25"/>
  <c r="AD42" i="25" s="1"/>
  <c r="AC36" i="25"/>
  <c r="AD36" i="25" s="1"/>
  <c r="AC38" i="25"/>
  <c r="AC8" i="25"/>
  <c r="AD8" i="25" s="1"/>
  <c r="AC30" i="25"/>
  <c r="AD30" i="25" s="1"/>
  <c r="AC26" i="25"/>
  <c r="AD26" i="25" s="1"/>
  <c r="AC35" i="25"/>
  <c r="AD35" i="25" s="1"/>
  <c r="AC18" i="25"/>
  <c r="AD18" i="25" s="1"/>
  <c r="AC39" i="25"/>
  <c r="AD39" i="25" s="1"/>
  <c r="AC23" i="25"/>
  <c r="AC6" i="25"/>
  <c r="AD6" i="25" s="1"/>
  <c r="AC27" i="25"/>
  <c r="AD27" i="25" s="1"/>
  <c r="AC11" i="25"/>
  <c r="AD11" i="25" s="1"/>
  <c r="AC33" i="25"/>
  <c r="AD33" i="25" s="1"/>
  <c r="AC15" i="25"/>
  <c r="AD15" i="25" s="1"/>
  <c r="AC40" i="25"/>
  <c r="AD40" i="25" s="1"/>
  <c r="AC25" i="25"/>
  <c r="AD25" i="25" s="1"/>
  <c r="AC21" i="25"/>
  <c r="AD21" i="25" s="1"/>
  <c r="AC3" i="25"/>
  <c r="AD3" i="25" s="1"/>
  <c r="AC28" i="25"/>
  <c r="AD28" i="25" s="1"/>
  <c r="AC22" i="25"/>
  <c r="AD22" i="25" s="1"/>
  <c r="AC5" i="25"/>
  <c r="AD5" i="25" s="1"/>
  <c r="AC13" i="25"/>
  <c r="AD13" i="25" s="1"/>
  <c r="AC9" i="25"/>
  <c r="AD9" i="25" s="1"/>
  <c r="AC31" i="25"/>
  <c r="AD31" i="25" s="1"/>
  <c r="AC16" i="25"/>
  <c r="AD16" i="25" s="1"/>
  <c r="AC19" i="25"/>
  <c r="AD19" i="25" s="1"/>
  <c r="AC41" i="25"/>
  <c r="AD41" i="25" s="1"/>
  <c r="AC14" i="25"/>
  <c r="AD14" i="25" s="1"/>
  <c r="AC24" i="25"/>
  <c r="AD24" i="25" s="1"/>
  <c r="AC7" i="25"/>
  <c r="AD7" i="25" s="1"/>
  <c r="AC29" i="25"/>
  <c r="AD29" i="25" s="1"/>
  <c r="AC12" i="25"/>
  <c r="AD12" i="25" s="1"/>
  <c r="AC34" i="25"/>
  <c r="AD34" i="25" s="1"/>
  <c r="AC17" i="25"/>
  <c r="AD17" i="25" s="1"/>
  <c r="AC37" i="25"/>
  <c r="AD37" i="25" s="1"/>
  <c r="AD38" i="25"/>
  <c r="AD23" i="25"/>
  <c r="Q6" i="25"/>
  <c r="Q8" i="25"/>
  <c r="Q9" i="25"/>
  <c r="Q4" i="25"/>
  <c r="E4" i="25"/>
  <c r="E6" i="25" s="1"/>
  <c r="O10" i="25"/>
  <c r="P10" i="25" s="1"/>
  <c r="O6" i="25"/>
  <c r="P6" i="25" s="1"/>
  <c r="O5" i="25"/>
  <c r="P5" i="25" s="1"/>
  <c r="O11" i="25"/>
  <c r="P11" i="25" s="1"/>
  <c r="O7" i="25"/>
  <c r="P7" i="25" s="1"/>
  <c r="O4" i="25"/>
  <c r="P4" i="25" s="1"/>
  <c r="O8" i="25"/>
  <c r="P8" i="25" s="1"/>
  <c r="O12" i="25"/>
  <c r="P12" i="25" s="1"/>
  <c r="O3" i="25"/>
  <c r="P3" i="25" s="1"/>
  <c r="O9" i="25"/>
  <c r="P9" i="25" s="1"/>
  <c r="Q7" i="25"/>
  <c r="Q3" i="25"/>
  <c r="Q11" i="25"/>
  <c r="Q5" i="25"/>
  <c r="Q12" i="25"/>
  <c r="Q10" i="25"/>
  <c r="E5" i="25"/>
  <c r="K4" i="22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AF29" i="25" l="1"/>
  <c r="AE23" i="25"/>
  <c r="AE14" i="25"/>
  <c r="AE25" i="25"/>
  <c r="AE41" i="25"/>
  <c r="AF41" i="25"/>
  <c r="AE40" i="25"/>
  <c r="AF40" i="25"/>
  <c r="AF19" i="25"/>
  <c r="AE19" i="25"/>
  <c r="AE16" i="25"/>
  <c r="AF16" i="25"/>
  <c r="AF33" i="25"/>
  <c r="AE33" i="25"/>
  <c r="AE37" i="25"/>
  <c r="AE9" i="25"/>
  <c r="AF9" i="25"/>
  <c r="AF27" i="25"/>
  <c r="AE27" i="25"/>
  <c r="AF26" i="25"/>
  <c r="AE26" i="25"/>
  <c r="AF17" i="25"/>
  <c r="AF13" i="25"/>
  <c r="AE13" i="25"/>
  <c r="AF34" i="25"/>
  <c r="AE34" i="25"/>
  <c r="AF5" i="25"/>
  <c r="AE5" i="25"/>
  <c r="AE10" i="25"/>
  <c r="AF10" i="25"/>
  <c r="AE12" i="25"/>
  <c r="AF12" i="25"/>
  <c r="AE22" i="25"/>
  <c r="AF22" i="25"/>
  <c r="AE39" i="25"/>
  <c r="AF11" i="25"/>
  <c r="AE15" i="25"/>
  <c r="AE8" i="25"/>
  <c r="AE20" i="25"/>
  <c r="AF21" i="25"/>
  <c r="AF18" i="25"/>
  <c r="AE4" i="25"/>
  <c r="AE17" i="25"/>
  <c r="AE11" i="25"/>
  <c r="AE21" i="25"/>
  <c r="AF35" i="25"/>
  <c r="AE30" i="25"/>
  <c r="AF39" i="25"/>
  <c r="AF4" i="25"/>
  <c r="AF6" i="25"/>
  <c r="AE31" i="25"/>
  <c r="AE7" i="25"/>
  <c r="AE6" i="25"/>
  <c r="AF28" i="25"/>
  <c r="AF25" i="25"/>
  <c r="AE42" i="25"/>
  <c r="AF8" i="25"/>
  <c r="AF37" i="25"/>
  <c r="AE32" i="25"/>
  <c r="AF42" i="25"/>
  <c r="AF20" i="25"/>
  <c r="AF7" i="25"/>
  <c r="AF31" i="25"/>
  <c r="AF3" i="25"/>
  <c r="AF15" i="25"/>
  <c r="AF30" i="25"/>
  <c r="AE38" i="25"/>
  <c r="AE35" i="25"/>
  <c r="AE3" i="25"/>
  <c r="AE36" i="25"/>
  <c r="AF38" i="25"/>
  <c r="AE24" i="25"/>
  <c r="AF36" i="25"/>
  <c r="AE28" i="25"/>
  <c r="AF24" i="25"/>
  <c r="AF32" i="25"/>
  <c r="AE18" i="25"/>
  <c r="AF23" i="25"/>
  <c r="AE29" i="25"/>
  <c r="AF14" i="25"/>
  <c r="V3" i="25"/>
  <c r="V9" i="25"/>
  <c r="T8" i="25"/>
  <c r="T5" i="25"/>
  <c r="W3" i="25"/>
  <c r="W9" i="25"/>
  <c r="T9" i="25"/>
  <c r="V4" i="25"/>
  <c r="V10" i="25"/>
  <c r="T10" i="25"/>
  <c r="W4" i="25"/>
  <c r="W10" i="25"/>
  <c r="T11" i="25"/>
  <c r="V5" i="25"/>
  <c r="V11" i="25"/>
  <c r="T12" i="25"/>
  <c r="W5" i="25"/>
  <c r="W11" i="25"/>
  <c r="T3" i="25"/>
  <c r="T7" i="25"/>
  <c r="V6" i="25"/>
  <c r="V12" i="25"/>
  <c r="W6" i="25"/>
  <c r="W12" i="25"/>
  <c r="V7" i="25"/>
  <c r="T4" i="25"/>
  <c r="W7" i="25"/>
  <c r="W8" i="25"/>
  <c r="V8" i="25"/>
  <c r="T6" i="25"/>
  <c r="Q4" i="22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I17" i="25" l="1"/>
  <c r="R36" i="26" s="1"/>
  <c r="AJ16" i="25"/>
  <c r="S35" i="26" s="1"/>
  <c r="AK16" i="25"/>
  <c r="T35" i="26" s="1"/>
  <c r="AI16" i="25"/>
  <c r="R35" i="26" s="1"/>
  <c r="AI5" i="25"/>
  <c r="R16" i="26" s="1"/>
  <c r="AI15" i="25"/>
  <c r="R34" i="26" s="1"/>
  <c r="AI4" i="25"/>
  <c r="R15" i="26" s="1"/>
  <c r="AK15" i="25"/>
  <c r="T34" i="26" s="1"/>
  <c r="AK4" i="25"/>
  <c r="T15" i="26" s="1"/>
  <c r="AJ12" i="25"/>
  <c r="S31" i="26" s="1"/>
  <c r="AJ6" i="25"/>
  <c r="S17" i="26" s="1"/>
  <c r="AK14" i="25"/>
  <c r="T33" i="26" s="1"/>
  <c r="AJ17" i="25"/>
  <c r="S36" i="26" s="1"/>
  <c r="AJ5" i="25"/>
  <c r="S16" i="26" s="1"/>
  <c r="AJ14" i="25"/>
  <c r="S33" i="26" s="1"/>
  <c r="AK17" i="25"/>
  <c r="T36" i="26" s="1"/>
  <c r="AJ4" i="25"/>
  <c r="S15" i="26" s="1"/>
  <c r="AI14" i="25"/>
  <c r="R33" i="26" s="1"/>
  <c r="AK8" i="25"/>
  <c r="T19" i="26" s="1"/>
  <c r="AK7" i="25"/>
  <c r="T18" i="26" s="1"/>
  <c r="AI12" i="25"/>
  <c r="R31" i="26" s="1"/>
  <c r="AI8" i="25"/>
  <c r="R19" i="26" s="1"/>
  <c r="AI3" i="25"/>
  <c r="R14" i="26" s="1"/>
  <c r="AK13" i="25"/>
  <c r="T32" i="26" s="1"/>
  <c r="AJ8" i="25"/>
  <c r="S19" i="26" s="1"/>
  <c r="AI6" i="25"/>
  <c r="R17" i="26" s="1"/>
  <c r="AK6" i="25"/>
  <c r="T17" i="26" s="1"/>
  <c r="AK12" i="25"/>
  <c r="T31" i="26" s="1"/>
  <c r="AK5" i="25"/>
  <c r="T16" i="26" s="1"/>
  <c r="AI13" i="25"/>
  <c r="R32" i="26" s="1"/>
  <c r="AJ3" i="25"/>
  <c r="S14" i="26" s="1"/>
  <c r="AK3" i="25"/>
  <c r="T14" i="26" s="1"/>
  <c r="AI7" i="25"/>
  <c r="R18" i="26" s="1"/>
  <c r="AJ7" i="25"/>
  <c r="S18" i="26" s="1"/>
  <c r="AJ13" i="25"/>
  <c r="S32" i="26" s="1"/>
  <c r="AJ15" i="25"/>
  <c r="S34" i="26" s="1"/>
  <c r="AF22" i="22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T37" i="26" l="1"/>
  <c r="T20" i="26"/>
  <c r="X5" i="22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<sst xmlns="http://schemas.openxmlformats.org/spreadsheetml/2006/main" count="27002" uniqueCount="142">
  <si>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</si>
  <si>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</si>
  <si>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</si>
  <si>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</si>
  <si>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</si>
  <si>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</si>
  <si>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</si>
  <si>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</si>
  <si>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</si>
  <si>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</si>
  <si>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</si>
  <si>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</si>
  <si>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</si>
  <si>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</si>
  <si>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</si>
  <si>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</si>
  <si>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</si>
  <si>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</si>
  <si>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</si>
  <si>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</si>
  <si>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</si>
  <si>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</si>
  <si>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</si>
  <si>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</si>
  <si>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</si>
  <si>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</si>
  <si>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</si>
  <si>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</si>
  <si>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</si>
  <si>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</si>
  <si>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</si>
  <si>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</si>
  <si>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</si>
  <si>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</si>
  <si>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</si>
  <si>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</si>
  <si>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</si>
  <si>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</si>
  <si>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</si>
  <si>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</si>
  <si>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</si>
  <si>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</si>
  <si>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</si>
  <si>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</si>
  <si>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</si>
  <si>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</si>
  <si>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</si>
  <si>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</si>
  <si>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</si>
  <si>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</si>
  <si>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</si>
  <si>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</si>
  <si>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</si>
  <si>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</si>
  <si>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</si>
  <si>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</si>
  <si>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</si>
  <si>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</si>
  <si>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</si>
  <si>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</si>
  <si>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</si>
  <si>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</si>
  <si>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</si>
  <si>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</si>
  <si>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</si>
  <si>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</si>
  <si>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</si>
  <si>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</si>
  <si>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</si>
  <si>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</si>
  <si>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</si>
  <si>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</si>
  <si>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</si>
  <si>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</si>
  <si>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</si>
  <si>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</si>
  <si>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</si>
  <si>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</si>
  <si>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</si>
  <si>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</si>
  <si>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</si>
  <si>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</si>
  <si>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</si>
  <si>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</si>
  <si>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</si>
  <si>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</si>
  <si>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</si>
  <si>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</si>
  <si>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</si>
  <si>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</si>
  <si>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</si>
  <si>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</si>
  <si>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</si>
  <si>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</si>
  <si>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</si>
  <si>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</si>
  <si>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</si>
  <si>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</si>
  <si>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</si>
  <si>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</si>
  <si>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</si>
  <si>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</si>
  <si>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</si>
  <si>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</si>
  <si>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</si>
  <si>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</si>
  <si>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</si>
  <si>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</si>
  <si>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</si>
  <si>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</si>
  <si>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</si>
  <si>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</si>
  <si>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</si>
  <si>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</si>
  <si>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</si>
  <si>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</si>
  <si>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</si>
  <si>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</si>
  <si>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</si>
  <si>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</si>
  <si>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</si>
  <si>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</si>
  <si>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</si>
  <si>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</si>
  <si>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</si>
  <si>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</si>
  <si>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</si>
  <si>
    <t>Previous Year Revenue:</t>
  </si>
  <si>
    <t>Previous Month Revenue:</t>
  </si>
  <si>
    <t>YoY % change:</t>
  </si>
  <si>
    <t>MoM % change:</t>
  </si>
  <si>
    <t>Month#</t>
  </si>
  <si>
    <t>Store Performance</t>
  </si>
  <si>
    <t xml:space="preserve">Store </t>
  </si>
  <si>
    <t>MoM% Change</t>
  </si>
  <si>
    <t>MoM Change</t>
  </si>
  <si>
    <t>Rank(+)</t>
  </si>
  <si>
    <t>Rank(-)</t>
  </si>
  <si>
    <t>rank</t>
  </si>
  <si>
    <t>MoM Revenue Change</t>
  </si>
  <si>
    <t>Selection R</t>
  </si>
  <si>
    <t>Selection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</si>
</sst>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>
      <alignment horizontal="centerContinuous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5" fillId="0" borderId="0" xfId="0" applyFont="1"/>
    <xf numFmtId="0" fontId="16" fillId="0" borderId="0" xfId="0" applyFont="1"/>
    <xf numFmtId="165" fontId="1" fillId="8" borderId="0" xfId="1" applyNumberFormat="1" applyFont="1" applyFill="1" applyAlignment="1">
      <alignment horizontal="center" vertical="center"/>
    </xf>
    <xf numFmtId="167" fontId="0" fillId="0" borderId="0" xfId="0" applyNumberFormat="1"/>
    <xf numFmtId="167" fontId="17" fillId="0" borderId="0" xfId="0" applyNumberFormat="1" applyFont="1"/>
    <xf numFmtId="167" fontId="14" fillId="0" borderId="0" xfId="0" applyNumberFormat="1" applyFont="1"/>
    <xf numFmtId="0" fontId="9" fillId="11" borderId="0" xfId="0" applyFont="1" applyFill="1"/>
  </cellXfs>
  <cellStyles count="2">
    <cellStyle name="Normal" xfId="0" builtinId="0"/>
    <cellStyle name="Percent" xfId="1" builtinId="5"/>
  </cellStyles>
  <dxfs count="11"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4343"/>
      <color rgb="FFFFD3D3"/>
      <color rgb="FFFF6565"/>
      <color rgb="FFF98386"/>
      <color rgb="FFF9777A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285214348206"/>
          <c:y val="5.5345911949685536E-2"/>
          <c:w val="0.8358245552639253"/>
          <c:h val="0.78665002723716138"/>
        </c:manualLayout>
      </c:layout>
      <c:lineChart>
        <c:grouping val="standard"/>
        <c:varyColors val="0"/>
        <c:ser>
          <c:idx val="0"/>
          <c:order val="0"/>
          <c:tx>
            <c:strRef>
              <c:f>Pivots!$I$2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Pivots!$I$3:$I$14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A-4E7B-8BA9-3AF357AEBF7E}"/>
            </c:ext>
          </c:extLst>
        </c:ser>
        <c:ser>
          <c:idx val="1"/>
          <c:order val="1"/>
          <c:tx>
            <c:strRef>
              <c:f>Pivots!$J$2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Pivots!$J$3:$J$14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AA-4E7B-8BA9-3AF357AEBF7E}"/>
            </c:ext>
          </c:extLst>
        </c:ser>
        <c:ser>
          <c:idx val="2"/>
          <c:order val="2"/>
          <c:tx>
            <c:strRef>
              <c:f>Pivots!$K$2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Pivots!$H$3:$H$14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Pivots!$K$3:$K$14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A-4E7B-8BA9-3AF357A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18127"/>
        <c:axId val="983219375"/>
      </c:lineChart>
      <c:catAx>
        <c:axId val="9832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19375"/>
        <c:crosses val="autoZero"/>
        <c:auto val="1"/>
        <c:lblAlgn val="ctr"/>
        <c:lblOffset val="100"/>
        <c:noMultiLvlLbl val="0"/>
      </c:catAx>
      <c:valAx>
        <c:axId val="983219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1812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Pivots!$T$3:$T$12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Pivots!$V$3:$V$12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A-413D-B3D1-870E10666E0E}"/>
            </c:ext>
          </c:extLst>
        </c:ser>
        <c:ser>
          <c:idx val="1"/>
          <c:order val="1"/>
          <c:tx>
            <c:strRef>
              <c:f>Pivots!$X$2</c:f>
              <c:strCache>
                <c:ptCount val="1"/>
                <c:pt idx="0">
                  <c:v>Selection 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Pivots!$X$3:$X$12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A-413D-B3D1-870E10666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605024847"/>
        <c:axId val="605027343"/>
      </c:barChart>
      <c:catAx>
        <c:axId val="60502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7343"/>
        <c:crosses val="autoZero"/>
        <c:auto val="1"/>
        <c:lblAlgn val="ctr"/>
        <c:lblOffset val="100"/>
        <c:noMultiLvlLbl val="0"/>
      </c:catAx>
      <c:valAx>
        <c:axId val="605027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605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Pivots!$W$2</c:f>
              <c:strCache>
                <c:ptCount val="1"/>
                <c:pt idx="0">
                  <c:v>MoM% Change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Pivots!$L$3:$L$12</c:f>
              <c:numCache>
                <c:formatCode>General</c:formatCode>
                <c:ptCount val="10"/>
              </c:numCache>
            </c:numRef>
          </c:cat>
          <c:val>
            <c:numRef>
              <c:f>Pivots!$W$3:$W$12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E3D-8F25-494B3CABC976}"/>
            </c:ext>
          </c:extLst>
        </c:ser>
        <c:ser>
          <c:idx val="1"/>
          <c:order val="1"/>
          <c:tx>
            <c:strRef>
              <c:f>Pivots!$Y$2</c:f>
              <c:strCache>
                <c:ptCount val="1"/>
                <c:pt idx="0">
                  <c:v>Selection C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Pivots!$Y$3:$Y$12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4343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2F3-4E3D-8F25-494B3CABC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605024847"/>
        <c:axId val="605027343"/>
      </c:barChart>
      <c:catAx>
        <c:axId val="60502484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7343"/>
        <c:crosses val="autoZero"/>
        <c:auto val="1"/>
        <c:lblAlgn val="ctr"/>
        <c:lblOffset val="100"/>
        <c:noMultiLvlLbl val="0"/>
      </c:catAx>
      <c:valAx>
        <c:axId val="605027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MoM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05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0</xdr:rowOff>
    </xdr:from>
    <xdr:to>
      <xdr:col>12</xdr:col>
      <xdr:colOff>295274</xdr:colOff>
      <xdr:row>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63FCA-DB2A-152A-D173-C9B92A2AC4A5}"/>
            </a:ext>
          </a:extLst>
        </xdr:cNvPr>
        <xdr:cNvSpPr txBox="1"/>
      </xdr:nvSpPr>
      <xdr:spPr>
        <a:xfrm>
          <a:off x="304799" y="190500"/>
          <a:ext cx="7305675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 DASHBOARD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266700</xdr:colOff>
      <xdr:row>6</xdr:row>
      <xdr:rowOff>38100</xdr:rowOff>
    </xdr:from>
    <xdr:to>
      <xdr:col>23</xdr:col>
      <xdr:colOff>447675</xdr:colOff>
      <xdr:row>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8FCB670-3760-FF24-7317-7195BBBF865C}"/>
            </a:ext>
          </a:extLst>
        </xdr:cNvPr>
        <xdr:cNvCxnSpPr/>
      </xdr:nvCxnSpPr>
      <xdr:spPr>
        <a:xfrm flipV="1">
          <a:off x="266700" y="1390650"/>
          <a:ext cx="15525750" cy="7620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8</xdr:row>
      <xdr:rowOff>123826</xdr:rowOff>
    </xdr:from>
    <xdr:to>
      <xdr:col>4</xdr:col>
      <xdr:colOff>295275</xdr:colOff>
      <xdr:row>10</xdr:row>
      <xdr:rowOff>47626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012316-EEAC-40F1-2ABD-F3794344037A}"/>
            </a:ext>
          </a:extLst>
        </xdr:cNvPr>
        <xdr:cNvSpPr txBox="1"/>
      </xdr:nvSpPr>
      <xdr:spPr>
        <a:xfrm>
          <a:off x="400050" y="1857376"/>
          <a:ext cx="36576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This was </a:t>
          </a:r>
          <a:r>
            <a:rPr lang="en-US" sz="18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 we drove in...</a:t>
          </a:r>
        </a:p>
      </xdr:txBody>
    </xdr:sp>
    <xdr:clientData/>
  </xdr:twoCellAnchor>
  <xdr:twoCellAnchor>
    <xdr:from>
      <xdr:col>1</xdr:col>
      <xdr:colOff>161924</xdr:colOff>
      <xdr:row>20</xdr:row>
      <xdr:rowOff>60326</xdr:rowOff>
    </xdr:from>
    <xdr:to>
      <xdr:col>2</xdr:col>
      <xdr:colOff>571500</xdr:colOff>
      <xdr:row>21</xdr:row>
      <xdr:rowOff>174626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6B188C-4CE5-A86D-17D7-56357B0848CC}"/>
            </a:ext>
          </a:extLst>
        </xdr:cNvPr>
        <xdr:cNvSpPr txBox="1"/>
      </xdr:nvSpPr>
      <xdr:spPr>
        <a:xfrm>
          <a:off x="581024" y="4079876"/>
          <a:ext cx="1533526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vs. Last Month</a:t>
          </a:r>
        </a:p>
      </xdr:txBody>
    </xdr:sp>
    <xdr:clientData/>
  </xdr:twoCellAnchor>
  <xdr:twoCellAnchor>
    <xdr:from>
      <xdr:col>2</xdr:col>
      <xdr:colOff>923924</xdr:colOff>
      <xdr:row>20</xdr:row>
      <xdr:rowOff>92076</xdr:rowOff>
    </xdr:from>
    <xdr:to>
      <xdr:col>4</xdr:col>
      <xdr:colOff>238125</xdr:colOff>
      <xdr:row>22</xdr:row>
      <xdr:rowOff>15876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08B893-45BD-24A6-EE0A-084800DC9CC0}"/>
            </a:ext>
          </a:extLst>
        </xdr:cNvPr>
        <xdr:cNvSpPr txBox="1"/>
      </xdr:nvSpPr>
      <xdr:spPr>
        <a:xfrm>
          <a:off x="2466974" y="4111626"/>
          <a:ext cx="1533526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vs. Last Year</a:t>
          </a:r>
        </a:p>
      </xdr:txBody>
    </xdr:sp>
    <xdr:clientData/>
  </xdr:twoCellAnchor>
  <xdr:twoCellAnchor>
    <xdr:from>
      <xdr:col>1</xdr:col>
      <xdr:colOff>66675</xdr:colOff>
      <xdr:row>23</xdr:row>
      <xdr:rowOff>57151</xdr:rowOff>
    </xdr:from>
    <xdr:to>
      <xdr:col>4</xdr:col>
      <xdr:colOff>666750</xdr:colOff>
      <xdr:row>24</xdr:row>
      <xdr:rowOff>171451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E063081-6B37-9382-446D-725A838944A8}"/>
            </a:ext>
          </a:extLst>
        </xdr:cNvPr>
        <xdr:cNvSpPr txBox="1"/>
      </xdr:nvSpPr>
      <xdr:spPr>
        <a:xfrm>
          <a:off x="485775" y="4648201"/>
          <a:ext cx="39433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 vs </a:t>
          </a:r>
          <a:r>
            <a:rPr lang="en-US" sz="1600" b="1">
              <a:solidFill>
                <a:schemeClr val="bg1">
                  <a:lumMod val="65000"/>
                </a:schemeClr>
              </a:solidFill>
            </a:rPr>
            <a:t>2020</a:t>
          </a:r>
        </a:p>
      </xdr:txBody>
    </xdr:sp>
    <xdr:clientData/>
  </xdr:twoCellAnchor>
  <xdr:twoCellAnchor>
    <xdr:from>
      <xdr:col>5</xdr:col>
      <xdr:colOff>209551</xdr:colOff>
      <xdr:row>8</xdr:row>
      <xdr:rowOff>165101</xdr:rowOff>
    </xdr:from>
    <xdr:to>
      <xdr:col>14</xdr:col>
      <xdr:colOff>533401</xdr:colOff>
      <xdr:row>10</xdr:row>
      <xdr:rowOff>88901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2B5CE2-1A57-F98B-A2EF-0C409760017A}"/>
            </a:ext>
          </a:extLst>
        </xdr:cNvPr>
        <xdr:cNvSpPr txBox="1"/>
      </xdr:nvSpPr>
      <xdr:spPr>
        <a:xfrm>
          <a:off x="4819651" y="1898651"/>
          <a:ext cx="58102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This is how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rank compared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to </a:t>
          </a:r>
          <a:r>
            <a:rPr lang="en-US" sz="1600" b="1" baseline="0">
              <a:solidFill>
                <a:schemeClr val="bg1">
                  <a:lumMod val="65000"/>
                </a:schemeClr>
              </a:solidFill>
            </a:rPr>
            <a:t>other regions</a:t>
          </a:r>
          <a:endParaRPr lang="en-US" sz="16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16</xdr:col>
      <xdr:colOff>457200</xdr:colOff>
      <xdr:row>8</xdr:row>
      <xdr:rowOff>168276</xdr:rowOff>
    </xdr:from>
    <xdr:to>
      <xdr:col>20</xdr:col>
      <xdr:colOff>314325</xdr:colOff>
      <xdr:row>10</xdr:row>
      <xdr:rowOff>92076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044486-C19F-4F56-78EA-54B0A79CB6FC}"/>
            </a:ext>
          </a:extLst>
        </xdr:cNvPr>
        <xdr:cNvSpPr txBox="1"/>
      </xdr:nvSpPr>
      <xdr:spPr>
        <a:xfrm>
          <a:off x="11772900" y="1901826"/>
          <a:ext cx="36766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Where these products </a:t>
          </a:r>
          <a:r>
            <a:rPr lang="en-US" sz="1600" b="1">
              <a:solidFill>
                <a:schemeClr val="accent6"/>
              </a:solidFill>
            </a:rPr>
            <a:t>drove growth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</a:p>
      </xdr:txBody>
    </xdr:sp>
    <xdr:clientData/>
  </xdr:twoCellAnchor>
  <xdr:twoCellAnchor>
    <xdr:from>
      <xdr:col>16</xdr:col>
      <xdr:colOff>171449</xdr:colOff>
      <xdr:row>26</xdr:row>
      <xdr:rowOff>38101</xdr:rowOff>
    </xdr:from>
    <xdr:to>
      <xdr:col>21</xdr:col>
      <xdr:colOff>114301</xdr:colOff>
      <xdr:row>27</xdr:row>
      <xdr:rowOff>152401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00DAC4C-F003-CB42-0305-27B02F99902D}"/>
            </a:ext>
          </a:extLst>
        </xdr:cNvPr>
        <xdr:cNvSpPr txBox="1"/>
      </xdr:nvSpPr>
      <xdr:spPr>
        <a:xfrm>
          <a:off x="11249024" y="5200651"/>
          <a:ext cx="4371977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US" sz="1600" b="1">
              <a:solidFill>
                <a:srgbClr val="FF4343"/>
              </a:solidFill>
            </a:rPr>
            <a:t>caused losses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</a:p>
      </xdr:txBody>
    </xdr:sp>
    <xdr:clientData/>
  </xdr:twoCellAnchor>
  <xdr:twoCellAnchor>
    <xdr:from>
      <xdr:col>34</xdr:col>
      <xdr:colOff>314325</xdr:colOff>
      <xdr:row>11</xdr:row>
      <xdr:rowOff>152400</xdr:rowOff>
    </xdr:from>
    <xdr:to>
      <xdr:col>40</xdr:col>
      <xdr:colOff>428625</xdr:colOff>
      <xdr:row>20</xdr:row>
      <xdr:rowOff>133350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2857D43-0EC3-D894-58D7-7603F345C5B2}"/>
            </a:ext>
          </a:extLst>
        </xdr:cNvPr>
        <xdr:cNvSpPr/>
      </xdr:nvSpPr>
      <xdr:spPr>
        <a:xfrm>
          <a:off x="22364700" y="2457450"/>
          <a:ext cx="3771900" cy="169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133350</xdr:colOff>
      <xdr:row>10</xdr:row>
      <xdr:rowOff>1</xdr:rowOff>
    </xdr:from>
    <xdr:to>
      <xdr:col>4</xdr:col>
      <xdr:colOff>276225</xdr:colOff>
      <xdr:row>15</xdr:row>
      <xdr:rowOff>142875</xdr:rowOff>
    </xdr:to>
    <xdr:sp macro="" textlink="Pivots!E2">
      <xdr:nvSpPr>
        <xdr:cNvPr id="20" name="TextBox 19">
          <a:extLst>
            <a:ext uri="{FF2B5EF4-FFF2-40B4-BE49-F238E27FC236}">
              <a16:creationId xmlns:a16="http://schemas.microsoft.com/office/drawing/2014/main" id="{6FAF4A79-7CF4-4A57-B0AF-D5C0AF7E5714}"/>
            </a:ext>
          </a:extLst>
        </xdr:cNvPr>
        <xdr:cNvSpPr txBox="1"/>
      </xdr:nvSpPr>
      <xdr:spPr>
        <a:xfrm>
          <a:off x="552450" y="2114551"/>
          <a:ext cx="3486150" cy="1095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61934D1-9654-4463-8618-C901AE3968A6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16</xdr:row>
          <xdr:rowOff>85725</xdr:rowOff>
        </xdr:from>
        <xdr:to>
          <xdr:col>2</xdr:col>
          <xdr:colOff>771525</xdr:colOff>
          <xdr:row>19</xdr:row>
          <xdr:rowOff>180975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10FD653A-B357-492A-B031-472C3F11AEF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vots!$E$5" spid="_x0000_s71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9575" y="3343275"/>
              <a:ext cx="1905000" cy="666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772886</xdr:colOff>
          <xdr:row>16</xdr:row>
          <xdr:rowOff>133349</xdr:rowOff>
        </xdr:from>
        <xdr:to>
          <xdr:col>4</xdr:col>
          <xdr:colOff>447675</xdr:colOff>
          <xdr:row>20</xdr:row>
          <xdr:rowOff>9524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F4119FEF-28CB-4223-9BC9-F780553615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vots!$E$6" spid="_x0000_s718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15936" y="3390899"/>
              <a:ext cx="1894114" cy="638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28575</xdr:colOff>
      <xdr:row>16</xdr:row>
      <xdr:rowOff>66675</xdr:rowOff>
    </xdr:from>
    <xdr:to>
      <xdr:col>4</xdr:col>
      <xdr:colOff>400050</xdr:colOff>
      <xdr:row>16</xdr:row>
      <xdr:rowOff>66675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2DE0EF5-57BB-D909-4277-7048F1B4F99C}"/>
            </a:ext>
          </a:extLst>
        </xdr:cNvPr>
        <xdr:cNvCxnSpPr/>
      </xdr:nvCxnSpPr>
      <xdr:spPr>
        <a:xfrm>
          <a:off x="447675" y="3324225"/>
          <a:ext cx="3714750" cy="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16</xdr:row>
      <xdr:rowOff>57150</xdr:rowOff>
    </xdr:from>
    <xdr:to>
      <xdr:col>2</xdr:col>
      <xdr:colOff>742950</xdr:colOff>
      <xdr:row>22</xdr:row>
      <xdr:rowOff>123825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2C4202-844B-9B7A-4FAF-42F3704838A3}"/>
            </a:ext>
          </a:extLst>
        </xdr:cNvPr>
        <xdr:cNvCxnSpPr/>
      </xdr:nvCxnSpPr>
      <xdr:spPr>
        <a:xfrm>
          <a:off x="2286000" y="3314700"/>
          <a:ext cx="0" cy="1209675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24</xdr:row>
      <xdr:rowOff>123825</xdr:rowOff>
    </xdr:from>
    <xdr:to>
      <xdr:col>5</xdr:col>
      <xdr:colOff>95250</xdr:colOff>
      <xdr:row>37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905B9DF-15E8-45DB-82D9-56E56190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114299</xdr:colOff>
      <xdr:row>10</xdr:row>
      <xdr:rowOff>76199</xdr:rowOff>
    </xdr:from>
    <xdr:to>
      <xdr:col>12</xdr:col>
      <xdr:colOff>166687</xdr:colOff>
      <xdr:row>38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DF11ED3-5088-492A-8BAE-94552F39E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400048</xdr:colOff>
      <xdr:row>10</xdr:row>
      <xdr:rowOff>104775</xdr:rowOff>
    </xdr:from>
    <xdr:to>
      <xdr:col>15</xdr:col>
      <xdr:colOff>576261</xdr:colOff>
      <xdr:row>38</xdr:row>
      <xdr:rowOff>104775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4063015-227B-4A79-9843-DB3FDC63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523875</xdr:colOff>
      <xdr:row>1</xdr:row>
      <xdr:rowOff>9525</xdr:rowOff>
    </xdr:from>
    <xdr:to>
      <xdr:col>19</xdr:col>
      <xdr:colOff>1159593</xdr:colOff>
      <xdr:row>5</xdr:row>
      <xdr:rowOff>174197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B069BFB-A228-41EB-1171-260EA3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200025"/>
          <a:ext cx="2426418" cy="926672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29</xdr:row>
      <xdr:rowOff>171450</xdr:rowOff>
    </xdr:from>
    <xdr:to>
      <xdr:col>20</xdr:col>
      <xdr:colOff>66675</xdr:colOff>
      <xdr:row>30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5AD218C-1C05-8184-B1AB-5210FBB11C91}"/>
            </a:ext>
          </a:extLst>
        </xdr:cNvPr>
        <xdr:cNvCxnSpPr/>
      </xdr:nvCxnSpPr>
      <xdr:spPr>
        <a:xfrm flipV="1">
          <a:off x="11925300" y="5905500"/>
          <a:ext cx="3276600" cy="1905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12</xdr:row>
      <xdr:rowOff>171450</xdr:rowOff>
    </xdr:from>
    <xdr:to>
      <xdr:col>20</xdr:col>
      <xdr:colOff>95250</xdr:colOff>
      <xdr:row>13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E7F8262A-4D39-5AC5-2BB4-01DB667850EC}"/>
            </a:ext>
          </a:extLst>
        </xdr:cNvPr>
        <xdr:cNvCxnSpPr/>
      </xdr:nvCxnSpPr>
      <xdr:spPr>
        <a:xfrm flipV="1">
          <a:off x="11915775" y="2667000"/>
          <a:ext cx="3314700" cy="19050"/>
        </a:xfrm>
        <a:prstGeom prst="line">
          <a:avLst/>
        </a:prstGeom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10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9"/>
    <tableColumn id="10" xr3:uid="{4128EF18-1420-4BED-A731-599200DD1802}" name="Profit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1.42578125" bestFit="1" customWidth="1"/>
    <col min="4" max="4" width="14.42578125" bestFit="1" customWidth="1"/>
    <col min="5" max="5" width="12" bestFit="1" customWidth="1"/>
    <col min="13" max="13" width="13.7109375" customWidth="1"/>
    <col min="15" max="15" width="12.140625" bestFit="1" customWidth="1"/>
    <col min="16" max="16" width="11" bestFit="1" customWidth="1"/>
    <col min="20" max="20" width="11.7109375" bestFit="1" customWidth="1"/>
    <col min="21" max="21" width="11.7109375" customWidth="1"/>
    <col min="27" max="27" width="25.5703125" customWidth="1"/>
    <col min="28" max="28" width="10.42578125" customWidth="1"/>
    <col min="29" max="29" width="13.28515625" customWidth="1"/>
    <col min="30" max="30" width="12.28515625" customWidth="1"/>
    <col min="35" max="35" width="14.42578125" customWidth="1"/>
    <col min="36" max="36" width="11.85546875" customWidth="1"/>
    <col min="37" max="37" width="11.5703125" customWidth="1"/>
  </cols>
  <sheetData>
    <row r="1" spans="1:37" x14ac:dyDescent="0.2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5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25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25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2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2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2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2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2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2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2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2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2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2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2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2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2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2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2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2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2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2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2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2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2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2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25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25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25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2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25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25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25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2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zoomScaleNormal="100" workbookViewId="0"/>
  </sheetViews>
  <sheetFormatPr defaultRowHeight="15" x14ac:dyDescent="0.25"/>
  <cols>
    <col min="1" max="1" width="4.140625" customWidth="1"/>
    <col min="2" max="2" width="16.85546875" bestFit="1" customWidth="1"/>
    <col min="3" max="3" width="25.140625" customWidth="1"/>
    <col min="4" max="4" width="20.85546875" bestFit="1" customWidth="1"/>
    <col min="12" max="12" width="4.28515625" customWidth="1"/>
    <col min="13" max="13" width="3.7109375" customWidth="1"/>
    <col min="14" max="14" width="6.5703125" customWidth="1"/>
    <col min="15" max="15" width="5.5703125" customWidth="1"/>
    <col min="16" max="16" width="20.140625" customWidth="1"/>
    <col min="17" max="17" width="13.5703125" customWidth="1"/>
    <col min="18" max="18" width="18.28515625" customWidth="1"/>
  </cols>
  <sheetData>
    <row r="4" spans="2:18" ht="13.15" customHeight="1" x14ac:dyDescent="0.25"/>
    <row r="5" spans="2:18" ht="9" customHeight="1" x14ac:dyDescent="0.25"/>
    <row r="6" spans="2:18" ht="31.5" x14ac:dyDescent="0.5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25"/>
    <row r="14" spans="2:18" ht="18.600000000000001" customHeight="1" x14ac:dyDescent="0.25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25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25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25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25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25">
      <c r="B19" s="28" t="str">
        <f>IF('Data Prep'!E6&gt;0,"  ↑","  ↓")</f>
        <v xml:space="preserve">  ↑</v>
      </c>
      <c r="C19" s="29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25">
      <c r="B20" s="28"/>
      <c r="C20" s="29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25">
      <c r="P21" s="16"/>
      <c r="Q21" s="16"/>
      <c r="R21" s="21">
        <f>SUM(R15:R20)</f>
        <v>6898.06</v>
      </c>
    </row>
    <row r="22" spans="2:18" ht="18.600000000000001" customHeight="1" x14ac:dyDescent="0.25">
      <c r="P22" s="16"/>
      <c r="Q22" s="16"/>
      <c r="R22" s="16"/>
    </row>
    <row r="23" spans="2:18" ht="18.600000000000001" customHeight="1" x14ac:dyDescent="0.25">
      <c r="P23" s="16"/>
      <c r="Q23" s="16"/>
      <c r="R23" s="16"/>
    </row>
    <row r="24" spans="2:18" ht="18.600000000000001" customHeight="1" x14ac:dyDescent="0.25">
      <c r="P24" s="16"/>
      <c r="Q24" s="16"/>
      <c r="R24" s="16"/>
    </row>
    <row r="25" spans="2:18" ht="11.45" customHeight="1" x14ac:dyDescent="0.25">
      <c r="P25" s="16"/>
      <c r="Q25" s="16"/>
      <c r="R25" s="16"/>
    </row>
    <row r="26" spans="2:18" ht="18.600000000000001" customHeight="1" x14ac:dyDescent="0.25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25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25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25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25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25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25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25">
      <c r="P33" s="16"/>
      <c r="Q33" s="16"/>
      <c r="R33" s="22">
        <f>SUM(R27:R32)</f>
        <v>-6557.8199999999988</v>
      </c>
    </row>
    <row r="34" spans="16:18" ht="18.600000000000001" customHeight="1" x14ac:dyDescent="0.25">
      <c r="P34" s="16"/>
      <c r="Q34" s="16"/>
      <c r="R34" s="16"/>
    </row>
    <row r="35" spans="16:18" ht="18.600000000000001" customHeight="1" x14ac:dyDescent="0.25">
      <c r="P35" s="16"/>
      <c r="Q35" s="16"/>
      <c r="R35" s="16"/>
    </row>
    <row r="36" spans="16:18" ht="18.600000000000001" customHeight="1" x14ac:dyDescent="0.25">
      <c r="P36" s="16"/>
      <c r="Q36" s="16"/>
      <c r="R36" s="16"/>
    </row>
    <row r="37" spans="16:18" ht="18.600000000000001" customHeight="1" x14ac:dyDescent="0.25">
      <c r="P37" s="16"/>
      <c r="Q37" s="16"/>
      <c r="R37" s="16"/>
    </row>
    <row r="38" spans="16:18" ht="15.75" x14ac:dyDescent="0.2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>
      <selection activeCell="F2" sqref="F2:F4795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2280-8084-4310-B942-52354514463F}">
  <dimension ref="A1:AK43"/>
  <sheetViews>
    <sheetView workbookViewId="0">
      <selection activeCell="B14" sqref="B14"/>
    </sheetView>
  </sheetViews>
  <sheetFormatPr defaultRowHeight="15" x14ac:dyDescent="0.25"/>
  <cols>
    <col min="1" max="1" width="14.7109375" bestFit="1" customWidth="1"/>
    <col min="2" max="2" width="9.42578125" bestFit="1" customWidth="1"/>
    <col min="4" max="4" width="24.28515625" bestFit="1" customWidth="1"/>
    <col min="5" max="5" width="8.42578125" bestFit="1" customWidth="1"/>
    <col min="13" max="13" width="17.85546875" bestFit="1" customWidth="1"/>
    <col min="15" max="15" width="12.140625" bestFit="1" customWidth="1"/>
    <col min="16" max="16" width="14.28515625" bestFit="1" customWidth="1"/>
    <col min="20" max="20" width="12.85546875" bestFit="1" customWidth="1"/>
    <col min="21" max="21" width="12.85546875" customWidth="1"/>
    <col min="23" max="23" width="14.5703125" bestFit="1" customWidth="1"/>
    <col min="24" max="25" width="14.5703125" customWidth="1"/>
    <col min="27" max="27" width="24" bestFit="1" customWidth="1"/>
    <col min="28" max="28" width="8.85546875" bestFit="1" customWidth="1"/>
    <col min="29" max="29" width="12.28515625" bestFit="1" customWidth="1"/>
    <col min="30" max="30" width="12.85546875" bestFit="1" customWidth="1"/>
    <col min="34" max="34" width="8.140625" customWidth="1"/>
    <col min="35" max="35" width="13.7109375" bestFit="1" customWidth="1"/>
    <col min="36" max="36" width="8.85546875" bestFit="1" customWidth="1"/>
    <col min="37" max="37" width="12.85546875" bestFit="1" customWidth="1"/>
  </cols>
  <sheetData>
    <row r="1" spans="1:37" x14ac:dyDescent="0.25">
      <c r="A1" s="6" t="s">
        <v>76</v>
      </c>
      <c r="B1" s="27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132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5">
      <c r="A2" s="7" t="s">
        <v>52</v>
      </c>
      <c r="B2" s="7" t="s">
        <v>77</v>
      </c>
      <c r="D2" s="12" t="s">
        <v>83</v>
      </c>
      <c r="E2" s="2">
        <f>SUMIFS(Data[Revenue],Data[Region],Region,Data[Month],CurrentMonth,Data[Year],CurrentYear)</f>
        <v>44041.12999999999</v>
      </c>
      <c r="G2" s="12" t="s">
        <v>131</v>
      </c>
      <c r="H2" s="12" t="s">
        <v>49</v>
      </c>
      <c r="I2" s="12">
        <f>PreviousYear</f>
        <v>2020</v>
      </c>
      <c r="J2" s="12">
        <f>CurrentYear</f>
        <v>2021</v>
      </c>
      <c r="K2" s="12" t="s">
        <v>77</v>
      </c>
      <c r="M2" s="12" t="s">
        <v>133</v>
      </c>
      <c r="N2" s="12" t="s">
        <v>46</v>
      </c>
      <c r="O2" s="12" t="s">
        <v>100</v>
      </c>
      <c r="P2" s="12" t="s">
        <v>134</v>
      </c>
      <c r="Q2" s="12" t="s">
        <v>102</v>
      </c>
      <c r="S2" s="12" t="s">
        <v>102</v>
      </c>
      <c r="T2" s="12" t="s">
        <v>133</v>
      </c>
      <c r="U2" s="12" t="s">
        <v>52</v>
      </c>
      <c r="V2" s="12" t="s">
        <v>46</v>
      </c>
      <c r="W2" s="12" t="s">
        <v>134</v>
      </c>
      <c r="X2" s="12" t="s">
        <v>140</v>
      </c>
      <c r="Y2" s="12" t="s">
        <v>141</v>
      </c>
      <c r="AA2" s="12" t="s">
        <v>105</v>
      </c>
      <c r="AB2" s="12" t="s">
        <v>46</v>
      </c>
      <c r="AC2" s="12" t="s">
        <v>100</v>
      </c>
      <c r="AD2" s="12" t="s">
        <v>135</v>
      </c>
      <c r="AE2" s="12" t="s">
        <v>136</v>
      </c>
      <c r="AF2" s="12" t="s">
        <v>137</v>
      </c>
      <c r="AH2" s="12" t="s">
        <v>138</v>
      </c>
      <c r="AI2" s="12" t="s">
        <v>105</v>
      </c>
      <c r="AJ2" s="12" t="s">
        <v>46</v>
      </c>
      <c r="AK2" s="12" t="s">
        <v>135</v>
      </c>
    </row>
    <row r="3" spans="1:37" x14ac:dyDescent="0.25">
      <c r="A3" t="s">
        <v>4</v>
      </c>
      <c r="B3" t="str">
        <f>Dash!C6</f>
        <v>Los Angeles</v>
      </c>
      <c r="D3" s="12" t="s">
        <v>127</v>
      </c>
      <c r="E3" s="2">
        <f>SUMIFS(Data[Revenue],Data[Region],Region,Data[Month],CurrentMonth,Data[Year],PreviousYear)</f>
        <v>34881.53</v>
      </c>
      <c r="G3">
        <v>1</v>
      </c>
      <c r="H3" t="s">
        <v>92</v>
      </c>
      <c r="I3" s="2">
        <f>SUMIFS(Data[[Revenue]:[Revenue]],Data[[Region]:[Region]],Region,Data[[Month]:[Month]],Pivots!$G3,Data[[Year]:[Year]],Pivots!I$2)</f>
        <v>37135.47</v>
      </c>
      <c r="J3" s="2">
        <f>IF(G3&gt;CurrentMonth,NA(),SUMIFS(Data[[Revenue]:[Revenue]],Data[[Region]:[Region]],Region,Data[[Month]:[Month]],Pivots!$G3,Data[[Year]:[Year]],Pivots!J$2))</f>
        <v>51959.660000000011</v>
      </c>
      <c r="K3" s="2" t="e">
        <f>IF(G3=CurrentMonth,J3,NA())</f>
        <v>#N/A</v>
      </c>
      <c r="M3" t="s">
        <v>54</v>
      </c>
      <c r="N3" s="2">
        <f>SUMIFS(Data[Revenue],Data[Store Name],M3,Data[Month],CurrentMonth,Data[Year],CurrentYear)</f>
        <v>7721.8800000000019</v>
      </c>
      <c r="O3" s="2">
        <f>SUMIFS(Data[Revenue],Data[Store Name],M3,Data[Month],PreviousMonth,Data[Year],PreviousMonthYear)</f>
        <v>10132.16</v>
      </c>
      <c r="P3" s="13">
        <f t="shared" ref="P3:P12" si="0">N3/O3-1</f>
        <v>-0.23788412342481746</v>
      </c>
      <c r="Q3">
        <f>_xlfn.RANK.AVG(N3,$N$3:$N$12,1)</f>
        <v>1</v>
      </c>
      <c r="S3">
        <v>1</v>
      </c>
      <c r="T3" t="str">
        <f>INDEX($M$3:$P$12,MATCH($S3,$Q$3:$Q$12,0),MATCH(T$2,$M$2:$P$2,0))</f>
        <v>Michigan Ave</v>
      </c>
      <c r="U3" t="str">
        <f>VLOOKUP(Pivots!T3,Data[[Store Name]:[Region]],2,0)</f>
        <v>Chicago</v>
      </c>
      <c r="V3" s="2">
        <f t="shared" ref="V3:W3" si="1">INDEX($M$3:$P$12,MATCH($S3,$Q$3:$Q$12,0),MATCH(V$2,$M$2:$P$2,0))</f>
        <v>7721.8800000000019</v>
      </c>
      <c r="W3" s="13">
        <f t="shared" si="1"/>
        <v>-0.23788412342481746</v>
      </c>
      <c r="X3" s="2">
        <f>IF($U3=Region,V3,0)</f>
        <v>0</v>
      </c>
      <c r="Y3" s="13">
        <f>IF($U3=Region,W3,0)</f>
        <v>0</v>
      </c>
      <c r="AA3" t="s">
        <v>13</v>
      </c>
      <c r="AB3" s="2">
        <f>SUMIFS(Data[Revenue],Data[Region],Region,Data[Month],CurrentMonth,Data[Year],CurrentYear,Data[Product Name],Pivots!AA3)</f>
        <v>1662.96</v>
      </c>
      <c r="AC3" s="2">
        <f>SUMIFS(Data[Revenue],Data[Region],Region,Data[Month],PreviousMonth,Data[Year],PreviousYear,Data[Product Name],Pivots!AA3)</f>
        <v>2494.44</v>
      </c>
      <c r="AD3" s="2">
        <f>AB3-AC3</f>
        <v>-831.48</v>
      </c>
      <c r="AE3">
        <f>_xlfn.RANK.AVG(AD3,$AD$3:$AD$43,0)</f>
        <v>36</v>
      </c>
      <c r="AF3">
        <f>_xlfn.RANK.AVG(AD3,$AD$3:$AD$43,1)</f>
        <v>5</v>
      </c>
      <c r="AH3">
        <v>1</v>
      </c>
      <c r="AI3" t="str">
        <f>INDEX($AA$3:$AD$42,MATCH($AH3,$AE$3:$AE$42,0),MATCH(AI$2,$AA$2:$AD$2,0))</f>
        <v>Magic Sand</v>
      </c>
      <c r="AJ3" s="2">
        <f t="shared" ref="AJ3:AK8" si="2">INDEX($AA$3:$AD$42,MATCH($AH3,$AE$3:$AE$42,0),MATCH(AJ$2,$AA$2:$AD$2,0))</f>
        <v>6523.92</v>
      </c>
      <c r="AK3" s="2">
        <f t="shared" si="2"/>
        <v>6523.92</v>
      </c>
    </row>
    <row r="4" spans="1:37" x14ac:dyDescent="0.25">
      <c r="A4" t="s">
        <v>5</v>
      </c>
      <c r="D4" s="12" t="s">
        <v>128</v>
      </c>
      <c r="E4" s="2">
        <f>SUMIFS(Data[Revenue],Data[Region],Region,Data[Month],PreviousMonth,Data[Year],PreviousMonthYear)</f>
        <v>41270.179999999986</v>
      </c>
      <c r="G4">
        <v>2</v>
      </c>
      <c r="H4" t="s">
        <v>93</v>
      </c>
      <c r="I4" s="2">
        <f>SUMIFS(Data[[Revenue]:[Revenue]],Data[[Region]:[Region]],Region,Data[[Month]:[Month]],Pivots!$G4,Data[[Year]:[Year]],Pivots!I$2)</f>
        <v>31324.390000000007</v>
      </c>
      <c r="J4" s="2">
        <f>IF(G4&gt;CurrentMonth,NA(),SUMIFS(Data[[Revenue]:[Revenue]],Data[[Region]:[Region]],Region,Data[[Month]:[Month]],Pivots!$G4,Data[[Year]:[Year]],Pivots!J$2))</f>
        <v>53726.850000000006</v>
      </c>
      <c r="K4" s="2" t="e">
        <f>IF(G4=CurrentMonth,J4,NA())</f>
        <v>#N/A</v>
      </c>
      <c r="M4" t="s">
        <v>59</v>
      </c>
      <c r="N4" s="2">
        <f>SUMIFS(Data[Revenue],Data[Store Name],M4,Data[Month],CurrentMonth,Data[Year],CurrentYear)</f>
        <v>10103.540000000001</v>
      </c>
      <c r="O4" s="2">
        <f>SUMIFS(Data[Revenue],Data[Store Name],M4,Data[Month],PreviousMonth,Data[Year],PreviousMonthYear)</f>
        <v>7938.76</v>
      </c>
      <c r="P4" s="13">
        <f t="shared" si="0"/>
        <v>0.27268490293194403</v>
      </c>
      <c r="Q4">
        <f t="shared" ref="Q4:Q12" si="3">_xlfn.RANK.AVG(N4,$N$3:$N$12,1)</f>
        <v>2</v>
      </c>
      <c r="S4">
        <v>2</v>
      </c>
      <c r="T4" t="str">
        <f t="shared" ref="T4:W12" si="4">INDEX($M$3:$P$12,MATCH($S4,$Q$3:$Q$12,0),MATCH(T$2,$M$2:$P$2,0))</f>
        <v>Hollywood</v>
      </c>
      <c r="U4" t="str">
        <f>VLOOKUP(Pivots!T4,Data[[Store Name]:[Region]],2,0)</f>
        <v>Los Angeles</v>
      </c>
      <c r="V4" s="2">
        <f t="shared" si="4"/>
        <v>10103.540000000001</v>
      </c>
      <c r="W4" s="13">
        <f t="shared" si="4"/>
        <v>0.27268490293194403</v>
      </c>
      <c r="X4" s="2">
        <f>IF($U4=Region,V4,0)</f>
        <v>10103.540000000001</v>
      </c>
      <c r="Y4" s="13">
        <f>IF($U4=Region,W4,0)</f>
        <v>0.27268490293194403</v>
      </c>
      <c r="AA4" t="s">
        <v>24</v>
      </c>
      <c r="AB4" s="2">
        <f>SUMIFS(Data[Revenue],Data[Region],Region,Data[Month],CurrentMonth,Data[Year],CurrentYear,Data[Product Name],Pivots!AA4)</f>
        <v>1675.71</v>
      </c>
      <c r="AC4" s="2">
        <f>SUMIFS(Data[Revenue],Data[Region],Region,Data[Month],PreviousMonth,Data[Year],PreviousYear,Data[Product Name],Pivots!AA4)</f>
        <v>1610.7600000000002</v>
      </c>
      <c r="AD4" s="2">
        <f t="shared" ref="AD4:AD42" si="5">AB4-AC4</f>
        <v>64.949999999999818</v>
      </c>
      <c r="AE4">
        <f t="shared" ref="AE4:AE42" si="6">_xlfn.RANK.AVG(AD4,$AD$3:$AD$43,0)</f>
        <v>19</v>
      </c>
      <c r="AF4">
        <f t="shared" ref="AF4:AF42" si="7">_xlfn.RANK.AVG(AD4,$AD$3:$AD$43,1)</f>
        <v>22</v>
      </c>
      <c r="AH4">
        <v>2</v>
      </c>
      <c r="AI4" t="str">
        <f t="shared" ref="AI4:AI8" si="8">INDEX($AA$3:$AD$42,MATCH($AH4,$AE$3:$AE$42,0),MATCH(AI$2,$AA$2:$AD$2,0))</f>
        <v>Lego Bricks</v>
      </c>
      <c r="AJ4" s="2">
        <f t="shared" si="2"/>
        <v>4918.7700000000004</v>
      </c>
      <c r="AK4" s="2">
        <f t="shared" si="2"/>
        <v>3119.2200000000003</v>
      </c>
    </row>
    <row r="5" spans="1:37" x14ac:dyDescent="0.25">
      <c r="A5" t="s">
        <v>48</v>
      </c>
      <c r="D5" s="12" t="s">
        <v>129</v>
      </c>
      <c r="E5" s="32">
        <f>E2/E3-1</f>
        <v>0.26259169250890069</v>
      </c>
      <c r="G5">
        <v>3</v>
      </c>
      <c r="H5" t="s">
        <v>98</v>
      </c>
      <c r="I5" s="2">
        <f>SUMIFS(Data[[Revenue]:[Revenue]],Data[[Region]:[Region]],Region,Data[[Month]:[Month]],Pivots!$G5,Data[[Year]:[Year]],Pivots!I$2)</f>
        <v>38310.149999999987</v>
      </c>
      <c r="J5" s="2">
        <f>IF(G5&gt;CurrentMonth,NA(),SUMIFS(Data[[Revenue]:[Revenue]],Data[[Region]:[Region]],Region,Data[[Month]:[Month]],Pivots!$G5,Data[[Year]:[Year]],Pivots!J$2))</f>
        <v>53604.229999999989</v>
      </c>
      <c r="K5" s="2" t="e">
        <f>IF(G5=CurrentMonth,J5,NA())</f>
        <v>#N/A</v>
      </c>
      <c r="M5" t="s">
        <v>60</v>
      </c>
      <c r="N5" s="2">
        <f>SUMIFS(Data[Revenue],Data[Store Name],M5,Data[Month],CurrentMonth,Data[Year],CurrentYear)</f>
        <v>13879.13</v>
      </c>
      <c r="O5" s="2">
        <f>SUMIFS(Data[Revenue],Data[Store Name],M5,Data[Month],PreviousMonth,Data[Year],PreviousMonthYear)</f>
        <v>13127.479999999996</v>
      </c>
      <c r="P5" s="13">
        <f t="shared" si="0"/>
        <v>5.7257752439920262E-2</v>
      </c>
      <c r="Q5">
        <f t="shared" si="3"/>
        <v>3</v>
      </c>
      <c r="S5">
        <v>3</v>
      </c>
      <c r="T5" t="str">
        <f t="shared" si="4"/>
        <v>JFK</v>
      </c>
      <c r="U5" t="str">
        <f>VLOOKUP(Pivots!T5,Data[[Store Name]:[Region]],2,0)</f>
        <v>New York</v>
      </c>
      <c r="V5" s="2">
        <f t="shared" si="4"/>
        <v>13879.13</v>
      </c>
      <c r="W5" s="13">
        <f t="shared" si="4"/>
        <v>5.7257752439920262E-2</v>
      </c>
      <c r="X5" s="2">
        <f>IF($U5=Region,V5,0)</f>
        <v>0</v>
      </c>
      <c r="Y5" s="13">
        <f>IF($U5=Region,W5,0)</f>
        <v>0</v>
      </c>
      <c r="AA5" t="s">
        <v>18</v>
      </c>
      <c r="AB5" s="2">
        <f>SUMIFS(Data[Revenue],Data[Region],Region,Data[Month],CurrentMonth,Data[Year],CurrentYear,Data[Product Name],Pivots!AA5)</f>
        <v>233.82</v>
      </c>
      <c r="AC5" s="2">
        <f>SUMIFS(Data[Revenue],Data[Region],Region,Data[Month],PreviousMonth,Data[Year],PreviousYear,Data[Product Name],Pivots!AA5)</f>
        <v>25.98</v>
      </c>
      <c r="AD5" s="2">
        <f t="shared" si="5"/>
        <v>207.84</v>
      </c>
      <c r="AE5">
        <f t="shared" si="6"/>
        <v>16</v>
      </c>
      <c r="AF5">
        <f t="shared" si="7"/>
        <v>25</v>
      </c>
      <c r="AH5">
        <v>3</v>
      </c>
      <c r="AI5" t="str">
        <f t="shared" si="8"/>
        <v>Dino Egg</v>
      </c>
      <c r="AJ5" s="2">
        <f t="shared" si="2"/>
        <v>2659.58</v>
      </c>
      <c r="AK5" s="2">
        <f t="shared" si="2"/>
        <v>2659.58</v>
      </c>
    </row>
    <row r="6" spans="1:37" x14ac:dyDescent="0.25">
      <c r="D6" s="12" t="s">
        <v>130</v>
      </c>
      <c r="E6" s="32">
        <f>E2/E4-1</f>
        <v>6.7141698921594273E-2</v>
      </c>
      <c r="G6">
        <v>4</v>
      </c>
      <c r="H6" t="s">
        <v>94</v>
      </c>
      <c r="I6" s="2">
        <f>SUMIFS(Data[[Revenue]:[Revenue]],Data[[Region]:[Region]],Region,Data[[Month]:[Month]],Pivots!$G6,Data[[Year]:[Year]],Pivots!I$2)</f>
        <v>43124.819999999992</v>
      </c>
      <c r="J6" s="2">
        <f>IF(G6&gt;CurrentMonth,NA(),SUMIFS(Data[[Revenue]:[Revenue]],Data[[Region]:[Region]],Region,Data[[Month]:[Month]],Pivots!$G6,Data[[Year]:[Year]],Pivots!J$2))</f>
        <v>50597.080000000009</v>
      </c>
      <c r="K6" s="2" t="e">
        <f>IF(G6=CurrentMonth,J6,NA())</f>
        <v>#N/A</v>
      </c>
      <c r="M6" t="s">
        <v>56</v>
      </c>
      <c r="N6" s="2">
        <f>SUMIFS(Data[Revenue],Data[Store Name],M6,Data[Month],CurrentMonth,Data[Year],CurrentYear)</f>
        <v>15765.830000000002</v>
      </c>
      <c r="O6" s="2">
        <f>SUMIFS(Data[Revenue],Data[Store Name],M6,Data[Month],PreviousMonth,Data[Year],PreviousMonthYear)</f>
        <v>11411.519999999999</v>
      </c>
      <c r="P6" s="13">
        <f t="shared" si="0"/>
        <v>0.38157142957292312</v>
      </c>
      <c r="Q6">
        <f t="shared" si="3"/>
        <v>4</v>
      </c>
      <c r="S6">
        <v>4</v>
      </c>
      <c r="T6" t="str">
        <f t="shared" si="4"/>
        <v>Beverly Hills</v>
      </c>
      <c r="U6" t="str">
        <f>VLOOKUP(Pivots!T6,Data[[Store Name]:[Region]],2,0)</f>
        <v>Los Angeles</v>
      </c>
      <c r="V6" s="2">
        <f t="shared" si="4"/>
        <v>15765.830000000002</v>
      </c>
      <c r="W6" s="13">
        <f t="shared" si="4"/>
        <v>0.38157142957292312</v>
      </c>
      <c r="X6" s="2">
        <f>IF($U6=Region,V6,0)</f>
        <v>15765.830000000002</v>
      </c>
      <c r="Y6" s="13">
        <f>IF($U6=Region,W6,0)</f>
        <v>0.38157142957292312</v>
      </c>
      <c r="AA6" t="s">
        <v>30</v>
      </c>
      <c r="AB6" s="2">
        <f>SUMIFS(Data[Revenue],Data[Region],Region,Data[Month],CurrentMonth,Data[Year],CurrentYear,Data[Product Name],Pivots!AA6)</f>
        <v>249.75</v>
      </c>
      <c r="AC6" s="2">
        <f>SUMIFS(Data[Revenue],Data[Region],Region,Data[Month],PreviousMonth,Data[Year],PreviousYear,Data[Product Name],Pivots!AA6)</f>
        <v>259.74</v>
      </c>
      <c r="AD6" s="2">
        <f t="shared" si="5"/>
        <v>-9.9900000000000091</v>
      </c>
      <c r="AE6">
        <f t="shared" si="6"/>
        <v>23</v>
      </c>
      <c r="AF6">
        <f t="shared" si="7"/>
        <v>18</v>
      </c>
      <c r="AH6">
        <v>4</v>
      </c>
      <c r="AI6" t="str">
        <f t="shared" si="8"/>
        <v>Playfoam</v>
      </c>
      <c r="AJ6" s="2">
        <f t="shared" si="2"/>
        <v>2274.9300000000003</v>
      </c>
      <c r="AK6" s="2">
        <f t="shared" si="2"/>
        <v>2274.9300000000003</v>
      </c>
    </row>
    <row r="7" spans="1:37" x14ac:dyDescent="0.25">
      <c r="A7" s="6" t="s">
        <v>78</v>
      </c>
      <c r="B7" s="6"/>
      <c r="G7">
        <v>5</v>
      </c>
      <c r="H7" t="s">
        <v>98</v>
      </c>
      <c r="I7" s="2">
        <f>SUMIFS(Data[[Revenue]:[Revenue]],Data[[Region]:[Region]],Region,Data[[Month]:[Month]],Pivots!$G7,Data[[Year]:[Year]],Pivots!I$2)</f>
        <v>48602.219999999994</v>
      </c>
      <c r="J7" s="2">
        <f>IF(G7&gt;CurrentMonth,NA(),SUMIFS(Data[[Revenue]:[Revenue]],Data[[Region]:[Region]],Region,Data[[Month]:[Month]],Pivots!$G7,Data[[Year]:[Year]],Pivots!J$2))</f>
        <v>66944.169999999984</v>
      </c>
      <c r="K7" s="2" t="e">
        <f>IF(G7=CurrentMonth,J7,NA())</f>
        <v>#N/A</v>
      </c>
      <c r="M7" t="s">
        <v>58</v>
      </c>
      <c r="N7" s="2">
        <f>SUMIFS(Data[Revenue],Data[Store Name],M7,Data[Month],CurrentMonth,Data[Year],CurrentYear)</f>
        <v>16255.230000000001</v>
      </c>
      <c r="O7" s="2">
        <f>SUMIFS(Data[Revenue],Data[Store Name],M7,Data[Month],PreviousMonth,Data[Year],PreviousMonthYear)</f>
        <v>18815.63</v>
      </c>
      <c r="P7" s="13">
        <f t="shared" si="0"/>
        <v>-0.13607835613264074</v>
      </c>
      <c r="Q7">
        <f t="shared" si="3"/>
        <v>5</v>
      </c>
      <c r="S7">
        <v>5</v>
      </c>
      <c r="T7" t="str">
        <f t="shared" si="4"/>
        <v>Fifth Avenue</v>
      </c>
      <c r="U7" t="str">
        <f>VLOOKUP(Pivots!T7,Data[[Store Name]:[Region]],2,0)</f>
        <v>New York</v>
      </c>
      <c r="V7" s="2">
        <f t="shared" si="4"/>
        <v>16255.230000000001</v>
      </c>
      <c r="W7" s="13">
        <f t="shared" si="4"/>
        <v>-0.13607835613264074</v>
      </c>
      <c r="X7" s="2">
        <f>IF($U7=Region,V7,0)</f>
        <v>0</v>
      </c>
      <c r="Y7" s="13">
        <f>IF($U7=Region,W7,0)</f>
        <v>0</v>
      </c>
      <c r="AA7" t="s">
        <v>20</v>
      </c>
      <c r="AB7" s="2">
        <f>SUMIFS(Data[Revenue],Data[Region],Region,Data[Month],CurrentMonth,Data[Year],CurrentYear,Data[Product Name],Pivots!AA7)</f>
        <v>4467.0200000000004</v>
      </c>
      <c r="AC7" s="2">
        <f>SUMIFS(Data[Revenue],Data[Region],Region,Data[Month],PreviousMonth,Data[Year],PreviousYear,Data[Product Name],Pivots!AA7)</f>
        <v>8034.6399999999994</v>
      </c>
      <c r="AD7" s="2">
        <f t="shared" si="5"/>
        <v>-3567.619999999999</v>
      </c>
      <c r="AE7">
        <f t="shared" si="6"/>
        <v>40</v>
      </c>
      <c r="AF7">
        <f t="shared" si="7"/>
        <v>1</v>
      </c>
      <c r="AH7">
        <v>5</v>
      </c>
      <c r="AI7" t="str">
        <f t="shared" si="8"/>
        <v>Nerf Gun</v>
      </c>
      <c r="AJ7" s="2">
        <f t="shared" si="2"/>
        <v>2018.9899999999998</v>
      </c>
      <c r="AK7" s="2">
        <f t="shared" si="2"/>
        <v>1659.1699999999998</v>
      </c>
    </row>
    <row r="8" spans="1:37" x14ac:dyDescent="0.25">
      <c r="A8" s="7" t="s">
        <v>79</v>
      </c>
      <c r="B8">
        <f>MAX(Data[Year])</f>
        <v>2021</v>
      </c>
      <c r="G8">
        <v>6</v>
      </c>
      <c r="H8" t="s">
        <v>92</v>
      </c>
      <c r="I8" s="2">
        <f>SUMIFS(Data[[Revenue]:[Revenue]],Data[[Region]:[Region]],Region,Data[[Month]:[Month]],Pivots!$G8,Data[[Year]:[Year]],Pivots!I$2)</f>
        <v>42487.139999999992</v>
      </c>
      <c r="J8" s="2">
        <f>IF(G8&gt;CurrentMonth,NA(),SUMIFS(Data[[Revenue]:[Revenue]],Data[[Region]:[Region]],Region,Data[[Month]:[Month]],Pivots!$G8,Data[[Year]:[Year]],Pivots!J$2))</f>
        <v>46196.220000000008</v>
      </c>
      <c r="K8" s="2" t="e">
        <f>IF(G8=CurrentMonth,J8,NA())</f>
        <v>#N/A</v>
      </c>
      <c r="M8" t="s">
        <v>53</v>
      </c>
      <c r="N8" s="2">
        <f>SUMIFS(Data[Revenue],Data[Store Name],M8,Data[Month],CurrentMonth,Data[Year],CurrentYear)</f>
        <v>17505.330000000002</v>
      </c>
      <c r="O8" s="2">
        <f>SUMIFS(Data[Revenue],Data[Store Name],M8,Data[Month],PreviousMonth,Data[Year],PreviousMonthYear)</f>
        <v>17049.52</v>
      </c>
      <c r="P8" s="13">
        <f t="shared" si="0"/>
        <v>2.6734476982343214E-2</v>
      </c>
      <c r="Q8">
        <f t="shared" si="3"/>
        <v>6</v>
      </c>
      <c r="S8">
        <v>6</v>
      </c>
      <c r="T8" t="str">
        <f t="shared" si="4"/>
        <v>Lincoln Park</v>
      </c>
      <c r="U8" t="str">
        <f>VLOOKUP(Pivots!T8,Data[[Store Name]:[Region]],2,0)</f>
        <v>Chicago</v>
      </c>
      <c r="V8" s="2">
        <f t="shared" si="4"/>
        <v>17505.330000000002</v>
      </c>
      <c r="W8" s="13">
        <f t="shared" si="4"/>
        <v>2.6734476982343214E-2</v>
      </c>
      <c r="X8" s="2">
        <f>IF($U8=Region,V8,0)</f>
        <v>0</v>
      </c>
      <c r="Y8" s="13">
        <f>IF($U8=Region,W8,0)</f>
        <v>0</v>
      </c>
      <c r="AA8" t="s">
        <v>25</v>
      </c>
      <c r="AB8" s="2">
        <f>SUMIFS(Data[Revenue],Data[Region],Region,Data[Month],CurrentMonth,Data[Year],CurrentYear,Data[Product Name],Pivots!AA8)</f>
        <v>575.64</v>
      </c>
      <c r="AC8" s="2">
        <f>SUMIFS(Data[Revenue],Data[Region],Region,Data[Month],PreviousMonth,Data[Year],PreviousYear,Data[Product Name],Pivots!AA8)</f>
        <v>3485.82</v>
      </c>
      <c r="AD8" s="2">
        <f t="shared" si="5"/>
        <v>-2910.1800000000003</v>
      </c>
      <c r="AE8">
        <f t="shared" si="6"/>
        <v>39</v>
      </c>
      <c r="AF8">
        <f t="shared" si="7"/>
        <v>2</v>
      </c>
      <c r="AH8">
        <v>6</v>
      </c>
      <c r="AI8" t="str">
        <f t="shared" si="8"/>
        <v>Foam Disk Launcher</v>
      </c>
      <c r="AJ8" s="2">
        <f t="shared" si="2"/>
        <v>1234.97</v>
      </c>
      <c r="AK8" s="2">
        <f t="shared" si="2"/>
        <v>1234.97</v>
      </c>
    </row>
    <row r="9" spans="1:37" x14ac:dyDescent="0.25">
      <c r="A9" s="7" t="s">
        <v>80</v>
      </c>
      <c r="B9">
        <f>_xlfn.MAXIFS(Data!B:B,Data!A:A,CurrentYear)</f>
        <v>9</v>
      </c>
      <c r="G9">
        <v>7</v>
      </c>
      <c r="H9" t="s">
        <v>92</v>
      </c>
      <c r="I9" s="2">
        <f>SUMIFS(Data[[Revenue]:[Revenue]],Data[[Region]:[Region]],Region,Data[[Month]:[Month]],Pivots!$G9,Data[[Year]:[Year]],Pivots!I$2)</f>
        <v>44643.76</v>
      </c>
      <c r="J9" s="2">
        <f>IF(G9&gt;CurrentMonth,NA(),SUMIFS(Data[[Revenue]:[Revenue]],Data[[Region]:[Region]],Region,Data[[Month]:[Month]],Pivots!$G9,Data[[Year]:[Year]],Pivots!J$2))</f>
        <v>59782.98000000001</v>
      </c>
      <c r="K9" s="2" t="e">
        <f>IF(G9=CurrentMonth,J9,NA())</f>
        <v>#N/A</v>
      </c>
      <c r="M9" t="s">
        <v>61</v>
      </c>
      <c r="N9" s="2">
        <f>SUMIFS(Data[Revenue],Data[Store Name],M9,Data[Month],CurrentMonth,Data[Year],CurrentYear)</f>
        <v>18171.759999999995</v>
      </c>
      <c r="O9" s="2">
        <f>SUMIFS(Data[Revenue],Data[Store Name],M9,Data[Month],PreviousMonth,Data[Year],PreviousMonthYear)</f>
        <v>21919.900000000005</v>
      </c>
      <c r="P9" s="13">
        <f t="shared" si="0"/>
        <v>-0.17099256839675403</v>
      </c>
      <c r="Q9">
        <f t="shared" si="3"/>
        <v>7</v>
      </c>
      <c r="S9">
        <v>7</v>
      </c>
      <c r="T9" t="str">
        <f t="shared" si="4"/>
        <v>LAX</v>
      </c>
      <c r="U9" t="str">
        <f>VLOOKUP(Pivots!T9,Data[[Store Name]:[Region]],2,0)</f>
        <v>Los Angeles</v>
      </c>
      <c r="V9" s="2">
        <f t="shared" si="4"/>
        <v>18171.759999999995</v>
      </c>
      <c r="W9" s="13">
        <f t="shared" si="4"/>
        <v>-0.17099256839675403</v>
      </c>
      <c r="X9" s="2">
        <f>IF($U9=Region,V9,0)</f>
        <v>18171.759999999995</v>
      </c>
      <c r="Y9" s="13">
        <f>IF($U9=Region,W9,0)</f>
        <v>-0.17099256839675403</v>
      </c>
      <c r="AA9" t="s">
        <v>8</v>
      </c>
      <c r="AB9" s="2">
        <f>SUMIFS(Data[Revenue],Data[Region],Region,Data[Month],CurrentMonth,Data[Year],CurrentYear,Data[Product Name],Pivots!AA9)</f>
        <v>2334.66</v>
      </c>
      <c r="AC9" s="2">
        <f>SUMIFS(Data[Revenue],Data[Region],Region,Data[Month],PreviousMonth,Data[Year],PreviousYear,Data[Product Name],Pivots!AA9)</f>
        <v>1607.7</v>
      </c>
      <c r="AD9" s="2">
        <f t="shared" si="5"/>
        <v>726.95999999999981</v>
      </c>
      <c r="AE9">
        <f t="shared" si="6"/>
        <v>10</v>
      </c>
      <c r="AF9">
        <f t="shared" si="7"/>
        <v>31</v>
      </c>
    </row>
    <row r="10" spans="1:37" x14ac:dyDescent="0.25">
      <c r="A10" s="7" t="s">
        <v>81</v>
      </c>
      <c r="B10">
        <f>CurrentYear-1</f>
        <v>2020</v>
      </c>
      <c r="G10">
        <v>8</v>
      </c>
      <c r="H10" t="s">
        <v>94</v>
      </c>
      <c r="I10" s="2">
        <f>SUMIFS(Data[[Revenue]:[Revenue]],Data[[Region]:[Region]],Region,Data[[Month]:[Month]],Pivots!$G10,Data[[Year]:[Year]],Pivots!I$2)</f>
        <v>36202.770000000004</v>
      </c>
      <c r="J10" s="2">
        <f>IF(G10&gt;CurrentMonth,NA(),SUMIFS(Data[[Revenue]:[Revenue]],Data[[Region]:[Region]],Region,Data[[Month]:[Month]],Pivots!$G10,Data[[Year]:[Year]],Pivots!J$2))</f>
        <v>41270.179999999986</v>
      </c>
      <c r="K10" s="2" t="e">
        <f>IF(G10=CurrentMonth,J10,NA())</f>
        <v>#N/A</v>
      </c>
      <c r="M10" t="s">
        <v>57</v>
      </c>
      <c r="N10" s="2">
        <f>SUMIFS(Data[Revenue],Data[Store Name],M10,Data[Month],CurrentMonth,Data[Year],CurrentYear)</f>
        <v>18237.980000000003</v>
      </c>
      <c r="O10" s="2">
        <f>SUMIFS(Data[Revenue],Data[Store Name],M10,Data[Month],PreviousMonth,Data[Year],PreviousMonthYear)</f>
        <v>27284.929999999993</v>
      </c>
      <c r="P10" s="13">
        <f t="shared" si="0"/>
        <v>-0.3315731431233282</v>
      </c>
      <c r="Q10">
        <f t="shared" si="3"/>
        <v>8</v>
      </c>
      <c r="S10">
        <v>8</v>
      </c>
      <c r="T10" t="str">
        <f t="shared" si="4"/>
        <v>O'Hare</v>
      </c>
      <c r="U10" t="str">
        <f>VLOOKUP(Pivots!T10,Data[[Store Name]:[Region]],2,0)</f>
        <v>Chicago</v>
      </c>
      <c r="V10" s="2">
        <f t="shared" si="4"/>
        <v>18237.980000000003</v>
      </c>
      <c r="W10" s="13">
        <f t="shared" si="4"/>
        <v>-0.3315731431233282</v>
      </c>
      <c r="X10" s="2">
        <f>IF($U10=Region,V10,0)</f>
        <v>0</v>
      </c>
      <c r="Y10" s="13">
        <f>IF($U10=Region,W10,0)</f>
        <v>0</v>
      </c>
      <c r="AA10" t="s">
        <v>17</v>
      </c>
      <c r="AB10" s="2">
        <f>SUMIFS(Data[Revenue],Data[Region],Region,Data[Month],CurrentMonth,Data[Year],CurrentYear,Data[Product Name],Pivots!AA10)</f>
        <v>2659.58</v>
      </c>
      <c r="AC10" s="2">
        <f>SUMIFS(Data[Revenue],Data[Region],Region,Data[Month],PreviousMonth,Data[Year],PreviousYear,Data[Product Name],Pivots!AA10)</f>
        <v>0</v>
      </c>
      <c r="AD10" s="2">
        <f t="shared" si="5"/>
        <v>2659.58</v>
      </c>
      <c r="AE10">
        <f t="shared" si="6"/>
        <v>3</v>
      </c>
      <c r="AF10">
        <f t="shared" si="7"/>
        <v>38</v>
      </c>
      <c r="AH10" s="11" t="s">
        <v>110</v>
      </c>
      <c r="AI10" s="11"/>
      <c r="AJ10" s="11"/>
      <c r="AK10" s="11"/>
    </row>
    <row r="11" spans="1:37" x14ac:dyDescent="0.25">
      <c r="A11" s="7" t="s">
        <v>82</v>
      </c>
      <c r="B11">
        <f>IF(CurrentMonth=1,12,CurrentMonth-1)</f>
        <v>8</v>
      </c>
      <c r="G11">
        <v>9</v>
      </c>
      <c r="H11" t="s">
        <v>95</v>
      </c>
      <c r="I11" s="2">
        <f>SUMIFS(Data[[Revenue]:[Revenue]],Data[[Region]:[Region]],Region,Data[[Month]:[Month]],Pivots!$G11,Data[[Year]:[Year]],Pivots!I$2)</f>
        <v>34881.53</v>
      </c>
      <c r="J11" s="2">
        <f>IF(G11&gt;CurrentMonth,NA(),SUMIFS(Data[[Revenue]:[Revenue]],Data[[Region]:[Region]],Region,Data[[Month]:[Month]],Pivots!$G11,Data[[Year]:[Year]],Pivots!J$2))</f>
        <v>44041.12999999999</v>
      </c>
      <c r="K11" s="2">
        <f>IF(G11=CurrentMonth,J11,NA())</f>
        <v>44041.12999999999</v>
      </c>
      <c r="M11" t="s">
        <v>55</v>
      </c>
      <c r="N11" s="2">
        <f>SUMIFS(Data[Revenue],Data[Store Name],M11,Data[Month],CurrentMonth,Data[Year],CurrentYear)</f>
        <v>18238.46</v>
      </c>
      <c r="O11" s="2">
        <f>SUMIFS(Data[Revenue],Data[Store Name],M11,Data[Month],PreviousMonth,Data[Year],PreviousMonthYear)</f>
        <v>15332.379999999996</v>
      </c>
      <c r="P11" s="13">
        <f t="shared" si="0"/>
        <v>0.18953874088693379</v>
      </c>
      <c r="Q11">
        <f t="shared" si="3"/>
        <v>9</v>
      </c>
      <c r="S11">
        <v>9</v>
      </c>
      <c r="T11" t="str">
        <f t="shared" si="4"/>
        <v>Millenium</v>
      </c>
      <c r="U11" t="str">
        <f>VLOOKUP(Pivots!T11,Data[[Store Name]:[Region]],2,0)</f>
        <v>Chicago</v>
      </c>
      <c r="V11" s="2">
        <f t="shared" si="4"/>
        <v>18238.46</v>
      </c>
      <c r="W11" s="13">
        <f t="shared" si="4"/>
        <v>0.18953874088693379</v>
      </c>
      <c r="X11" s="2">
        <f>IF($U11=Region,V11,0)</f>
        <v>0</v>
      </c>
      <c r="Y11" s="13">
        <f>IF($U11=Region,W11,0)</f>
        <v>0</v>
      </c>
      <c r="AA11" t="s">
        <v>28</v>
      </c>
      <c r="AB11" s="2">
        <f>SUMIFS(Data[Revenue],Data[Region],Region,Data[Month],CurrentMonth,Data[Year],CurrentYear,Data[Product Name],Pivots!AA11)</f>
        <v>1424.05</v>
      </c>
      <c r="AC11" s="2">
        <f>SUMIFS(Data[Revenue],Data[Region],Region,Data[Month],PreviousMonth,Data[Year],PreviousYear,Data[Product Name],Pivots!AA11)</f>
        <v>1708.8600000000001</v>
      </c>
      <c r="AD11" s="2">
        <f t="shared" si="5"/>
        <v>-284.81000000000017</v>
      </c>
      <c r="AE11">
        <f t="shared" si="6"/>
        <v>28</v>
      </c>
      <c r="AF11">
        <f t="shared" si="7"/>
        <v>13</v>
      </c>
      <c r="AH11" s="12" t="s">
        <v>138</v>
      </c>
      <c r="AI11" s="12" t="s">
        <v>105</v>
      </c>
      <c r="AJ11" s="12" t="s">
        <v>46</v>
      </c>
      <c r="AK11" s="12" t="s">
        <v>135</v>
      </c>
    </row>
    <row r="12" spans="1:37" x14ac:dyDescent="0.25">
      <c r="A12" s="7" t="s">
        <v>87</v>
      </c>
      <c r="B12">
        <f>IF(CurrentMonth=1,PreviousYear,CurrentYear)</f>
        <v>2021</v>
      </c>
      <c r="G12">
        <v>10</v>
      </c>
      <c r="H12" t="s">
        <v>96</v>
      </c>
      <c r="I12" s="2">
        <f>SUMIFS(Data[[Revenue]:[Revenue]],Data[[Region]:[Region]],Region,Data[[Month]:[Month]],Pivots!$G12,Data[[Year]:[Year]],Pivots!I$2)</f>
        <v>43505.939999999995</v>
      </c>
      <c r="J12" s="2" t="e">
        <f>IF(G12&gt;CurrentMonth,NA(),SUMIFS(Data[[Revenue]:[Revenue]],Data[[Region]:[Region]],Region,Data[[Month]:[Month]],Pivots!$G12,Data[[Year]:[Year]],Pivots!J$2))</f>
        <v>#N/A</v>
      </c>
      <c r="K12" s="2" t="e">
        <f>IF(G12=CurrentMonth,J12,NA())</f>
        <v>#N/A</v>
      </c>
      <c r="M12" t="s">
        <v>62</v>
      </c>
      <c r="N12" s="2">
        <f>SUMIFS(Data[Revenue],Data[Store Name],M12,Data[Month],CurrentMonth,Data[Year],CurrentYear)</f>
        <v>20484.010000000002</v>
      </c>
      <c r="O12" s="2">
        <f>SUMIFS(Data[Revenue],Data[Store Name],M12,Data[Month],PreviousMonth,Data[Year],PreviousMonthYear)</f>
        <v>17895.43</v>
      </c>
      <c r="P12" s="13">
        <f t="shared" si="0"/>
        <v>0.14465033810308014</v>
      </c>
      <c r="Q12">
        <f t="shared" si="3"/>
        <v>10</v>
      </c>
      <c r="S12">
        <v>10</v>
      </c>
      <c r="T12" t="str">
        <f t="shared" si="4"/>
        <v>Times Square</v>
      </c>
      <c r="U12" t="str">
        <f>VLOOKUP(Pivots!T12,Data[[Store Name]:[Region]],2,0)</f>
        <v>New York</v>
      </c>
      <c r="V12" s="2">
        <f t="shared" si="4"/>
        <v>20484.010000000002</v>
      </c>
      <c r="W12" s="13">
        <f t="shared" si="4"/>
        <v>0.14465033810308014</v>
      </c>
      <c r="X12" s="2">
        <f>IF($U12=Region,V12,0)</f>
        <v>0</v>
      </c>
      <c r="Y12" s="13">
        <f>IF($U12=Region,W12,0)</f>
        <v>0</v>
      </c>
      <c r="AA12" t="s">
        <v>32</v>
      </c>
      <c r="AB12" s="2">
        <f>SUMIFS(Data[Revenue],Data[Region],Region,Data[Month],CurrentMonth,Data[Year],CurrentYear,Data[Product Name],Pivots!AA12)</f>
        <v>1329.79</v>
      </c>
      <c r="AC12" s="2">
        <f>SUMIFS(Data[Revenue],Data[Region],Region,Data[Month],PreviousMonth,Data[Year],PreviousYear,Data[Product Name],Pivots!AA12)</f>
        <v>1527.61</v>
      </c>
      <c r="AD12" s="2">
        <f t="shared" si="5"/>
        <v>-197.81999999999994</v>
      </c>
      <c r="AE12">
        <f t="shared" si="6"/>
        <v>26</v>
      </c>
      <c r="AF12">
        <f t="shared" si="7"/>
        <v>15</v>
      </c>
      <c r="AH12">
        <v>1</v>
      </c>
      <c r="AI12" t="str">
        <f>INDEX($AA$3:$AD$42,MATCH($AH12,$AF$3:$AF$42,0),MATCH(AI$2,$AA$2:$AD$2,0))</f>
        <v>Colorbuds</v>
      </c>
      <c r="AJ12">
        <f t="shared" ref="AJ12:AK17" si="9">INDEX($AA$3:$AD$42,MATCH($AH12,$AF$3:$AF$42,0),MATCH(AJ$2,$AA$2:$AD$2,0))</f>
        <v>4467.0200000000004</v>
      </c>
      <c r="AK12">
        <f t="shared" si="9"/>
        <v>-3567.619999999999</v>
      </c>
    </row>
    <row r="13" spans="1:37" x14ac:dyDescent="0.25">
      <c r="A13" s="7" t="s">
        <v>113</v>
      </c>
      <c r="B13" t="str">
        <f>VLOOKUP(CurrentMonth,A16:B27,2,0)&amp;" "&amp;CurrentYear&amp;"?"</f>
        <v>September 2021?</v>
      </c>
      <c r="G13">
        <v>11</v>
      </c>
      <c r="H13" t="s">
        <v>97</v>
      </c>
      <c r="I13" s="2">
        <f>SUMIFS(Data[[Revenue]:[Revenue]],Data[[Region]:[Region]],Region,Data[[Month]:[Month]],Pivots!$G13,Data[[Year]:[Year]],Pivots!I$2)</f>
        <v>43677.41</v>
      </c>
      <c r="J13" s="2" t="e">
        <f>IF(G13&gt;CurrentMonth,NA(),SUMIFS(Data[[Revenue]:[Revenue]],Data[[Region]:[Region]],Region,Data[[Month]:[Month]],Pivots!$G13,Data[[Year]:[Year]],Pivots!J$2))</f>
        <v>#N/A</v>
      </c>
      <c r="K13" s="2" t="e">
        <f>IF(G13=CurrentMonth,J13,NA())</f>
        <v>#N/A</v>
      </c>
      <c r="AA13" t="s">
        <v>31</v>
      </c>
      <c r="AB13" s="2">
        <f>SUMIFS(Data[Revenue],Data[Region],Region,Data[Month],CurrentMonth,Data[Year],CurrentYear,Data[Product Name],Pivots!AA13)</f>
        <v>1019.4899999999999</v>
      </c>
      <c r="AC13" s="2">
        <f>SUMIFS(Data[Revenue],Data[Region],Region,Data[Month],PreviousMonth,Data[Year],PreviousYear,Data[Product Name],Pivots!AA13)</f>
        <v>1439.2799999999997</v>
      </c>
      <c r="AD13" s="2">
        <f t="shared" si="5"/>
        <v>-419.78999999999985</v>
      </c>
      <c r="AE13">
        <f t="shared" si="6"/>
        <v>30</v>
      </c>
      <c r="AF13">
        <f t="shared" si="7"/>
        <v>11</v>
      </c>
      <c r="AH13">
        <v>2</v>
      </c>
      <c r="AI13" t="str">
        <f t="shared" ref="AI13:AI17" si="10">INDEX($AA$3:$AD$42,MATCH($AH13,$AF$3:$AF$42,0),MATCH(AI$2,$AA$2:$AD$2,0))</f>
        <v>Dart Gun</v>
      </c>
      <c r="AJ13">
        <f t="shared" si="9"/>
        <v>575.64</v>
      </c>
      <c r="AK13">
        <f t="shared" si="9"/>
        <v>-2910.1800000000003</v>
      </c>
    </row>
    <row r="14" spans="1:37" x14ac:dyDescent="0.25">
      <c r="G14">
        <v>12</v>
      </c>
      <c r="H14" t="s">
        <v>75</v>
      </c>
      <c r="I14" s="2">
        <f>SUMIFS(Data[[Revenue]:[Revenue]],Data[[Region]:[Region]],Region,Data[[Month]:[Month]],Pivots!$G14,Data[[Year]:[Year]],Pivots!I$2)</f>
        <v>61614.720000000001</v>
      </c>
      <c r="J14" s="2" t="e">
        <f>IF(G14&gt;CurrentMonth,NA(),SUMIFS(Data[[Revenue]:[Revenue]],Data[[Region]:[Region]],Region,Data[[Month]:[Month]],Pivots!$G14,Data[[Year]:[Year]],Pivots!J$2))</f>
        <v>#N/A</v>
      </c>
      <c r="K14" s="2" t="e">
        <f>IF(G14=CurrentMonth,J14,NA())</f>
        <v>#N/A</v>
      </c>
      <c r="AA14" t="s">
        <v>15</v>
      </c>
      <c r="AB14" s="2">
        <f>SUMIFS(Data[Revenue],Data[Region],Region,Data[Month],CurrentMonth,Data[Year],CurrentYear,Data[Product Name],Pivots!AA14)</f>
        <v>4918.7700000000004</v>
      </c>
      <c r="AC14" s="2">
        <f>SUMIFS(Data[Revenue],Data[Region],Region,Data[Month],PreviousMonth,Data[Year],PreviousYear,Data[Product Name],Pivots!AA14)</f>
        <v>1799.5500000000002</v>
      </c>
      <c r="AD14" s="2">
        <f t="shared" si="5"/>
        <v>3119.2200000000003</v>
      </c>
      <c r="AE14">
        <f t="shared" si="6"/>
        <v>2</v>
      </c>
      <c r="AF14">
        <f t="shared" si="7"/>
        <v>39</v>
      </c>
      <c r="AH14">
        <v>3</v>
      </c>
      <c r="AI14" t="str">
        <f t="shared" si="10"/>
        <v>Rubik's Cube</v>
      </c>
      <c r="AJ14">
        <f t="shared" si="9"/>
        <v>1479.2599999999998</v>
      </c>
      <c r="AK14">
        <f t="shared" si="9"/>
        <v>-2278.86</v>
      </c>
    </row>
    <row r="15" spans="1:37" x14ac:dyDescent="0.25">
      <c r="A15" s="7" t="s">
        <v>131</v>
      </c>
      <c r="B15" s="7" t="s">
        <v>49</v>
      </c>
      <c r="AA15" t="s">
        <v>71</v>
      </c>
      <c r="AB15" s="2">
        <f>SUMIFS(Data[Revenue],Data[Region],Region,Data[Month],CurrentMonth,Data[Year],CurrentYear,Data[Product Name],Pivots!AA15)</f>
        <v>0</v>
      </c>
      <c r="AC15" s="2">
        <f>SUMIFS(Data[Revenue],Data[Region],Region,Data[Month],PreviousMonth,Data[Year],PreviousYear,Data[Product Name],Pivots!AA15)</f>
        <v>689.31000000000006</v>
      </c>
      <c r="AD15" s="2">
        <f t="shared" si="5"/>
        <v>-689.31000000000006</v>
      </c>
      <c r="AE15">
        <f t="shared" si="6"/>
        <v>33</v>
      </c>
      <c r="AF15">
        <f t="shared" si="7"/>
        <v>8</v>
      </c>
      <c r="AH15">
        <v>4</v>
      </c>
      <c r="AI15" t="str">
        <f t="shared" si="10"/>
        <v>Jenga</v>
      </c>
      <c r="AJ15">
        <f t="shared" si="9"/>
        <v>0</v>
      </c>
      <c r="AK15">
        <f t="shared" si="9"/>
        <v>-949.05</v>
      </c>
    </row>
    <row r="16" spans="1:37" x14ac:dyDescent="0.25">
      <c r="A16">
        <v>1</v>
      </c>
      <c r="B16" t="s">
        <v>114</v>
      </c>
      <c r="AA16" t="s">
        <v>19</v>
      </c>
      <c r="AB16" s="2">
        <f>SUMIFS(Data[Revenue],Data[Region],Region,Data[Month],CurrentMonth,Data[Year],CurrentYear,Data[Product Name],Pivots!AA16)</f>
        <v>179.91</v>
      </c>
      <c r="AC16" s="2">
        <f>SUMIFS(Data[Revenue],Data[Region],Region,Data[Month],PreviousMonth,Data[Year],PreviousYear,Data[Product Name],Pivots!AA16)</f>
        <v>79.959999999999994</v>
      </c>
      <c r="AD16" s="2">
        <f t="shared" si="5"/>
        <v>99.95</v>
      </c>
      <c r="AE16">
        <f t="shared" si="6"/>
        <v>18</v>
      </c>
      <c r="AF16">
        <f t="shared" si="7"/>
        <v>23</v>
      </c>
      <c r="AH16">
        <v>5</v>
      </c>
      <c r="AI16" t="str">
        <f t="shared" si="10"/>
        <v>Action Figure</v>
      </c>
      <c r="AJ16">
        <f t="shared" si="9"/>
        <v>1662.96</v>
      </c>
      <c r="AK16">
        <f t="shared" si="9"/>
        <v>-831.48</v>
      </c>
    </row>
    <row r="17" spans="1:37" x14ac:dyDescent="0.25">
      <c r="A17">
        <v>2</v>
      </c>
      <c r="B17" t="s">
        <v>115</v>
      </c>
      <c r="AA17" t="s">
        <v>27</v>
      </c>
      <c r="AB17" s="2">
        <f>SUMIFS(Data[Revenue],Data[Region],Region,Data[Month],CurrentMonth,Data[Year],CurrentYear,Data[Product Name],Pivots!AA17)</f>
        <v>741.5200000000001</v>
      </c>
      <c r="AC17" s="2">
        <f>SUMIFS(Data[Revenue],Data[Region],Region,Data[Month],PreviousMonth,Data[Year],PreviousYear,Data[Product Name],Pivots!AA17)</f>
        <v>517.27</v>
      </c>
      <c r="AD17" s="2">
        <f t="shared" si="5"/>
        <v>224.25000000000011</v>
      </c>
      <c r="AE17">
        <f t="shared" si="6"/>
        <v>15</v>
      </c>
      <c r="AF17">
        <f t="shared" si="7"/>
        <v>26</v>
      </c>
      <c r="AH17">
        <v>6</v>
      </c>
      <c r="AI17" t="str">
        <f t="shared" si="10"/>
        <v>Gamer Headset</v>
      </c>
      <c r="AJ17">
        <f t="shared" si="9"/>
        <v>0</v>
      </c>
      <c r="AK17">
        <f t="shared" si="9"/>
        <v>-776.62999999999988</v>
      </c>
    </row>
    <row r="18" spans="1:37" x14ac:dyDescent="0.25">
      <c r="A18">
        <v>3</v>
      </c>
      <c r="B18" t="s">
        <v>116</v>
      </c>
      <c r="AA18" t="s">
        <v>11</v>
      </c>
      <c r="AB18" s="2">
        <f>SUMIFS(Data[Revenue],Data[Region],Region,Data[Month],CurrentMonth,Data[Year],CurrentYear,Data[Product Name],Pivots!AA18)</f>
        <v>469.06</v>
      </c>
      <c r="AC18" s="2">
        <f>SUMIFS(Data[Revenue],Data[Region],Region,Data[Month],PreviousMonth,Data[Year],PreviousYear,Data[Product Name],Pivots!AA18)</f>
        <v>773.45</v>
      </c>
      <c r="AD18" s="2">
        <f t="shared" si="5"/>
        <v>-304.39000000000004</v>
      </c>
      <c r="AE18">
        <f t="shared" si="6"/>
        <v>29</v>
      </c>
      <c r="AF18">
        <f t="shared" si="7"/>
        <v>12</v>
      </c>
    </row>
    <row r="19" spans="1:37" x14ac:dyDescent="0.25">
      <c r="A19">
        <v>4</v>
      </c>
      <c r="B19" t="s">
        <v>117</v>
      </c>
      <c r="AA19" t="s">
        <v>26</v>
      </c>
      <c r="AB19" s="2">
        <f>SUMIFS(Data[Revenue],Data[Region],Region,Data[Month],CurrentMonth,Data[Year],CurrentYear,Data[Product Name],Pivots!AA19)</f>
        <v>1479.2599999999998</v>
      </c>
      <c r="AC19" s="2">
        <f>SUMIFS(Data[Revenue],Data[Region],Region,Data[Month],PreviousMonth,Data[Year],PreviousYear,Data[Product Name],Pivots!AA19)</f>
        <v>3758.12</v>
      </c>
      <c r="AD19" s="2">
        <f t="shared" si="5"/>
        <v>-2278.86</v>
      </c>
      <c r="AE19">
        <f t="shared" si="6"/>
        <v>38</v>
      </c>
      <c r="AF19">
        <f t="shared" si="7"/>
        <v>3</v>
      </c>
    </row>
    <row r="20" spans="1:37" x14ac:dyDescent="0.25">
      <c r="A20">
        <v>5</v>
      </c>
      <c r="B20" t="s">
        <v>118</v>
      </c>
      <c r="AA20" t="s">
        <v>6</v>
      </c>
      <c r="AB20" s="2">
        <f>SUMIFS(Data[Revenue],Data[Region],Region,Data[Month],CurrentMonth,Data[Year],CurrentYear,Data[Product Name],Pivots!AA20)</f>
        <v>836.07</v>
      </c>
      <c r="AC20" s="2">
        <f>SUMIFS(Data[Revenue],Data[Region],Region,Data[Month],PreviousMonth,Data[Year],PreviousYear,Data[Product Name],Pivots!AA20)</f>
        <v>1330.52</v>
      </c>
      <c r="AD20" s="2">
        <f t="shared" si="5"/>
        <v>-494.44999999999993</v>
      </c>
      <c r="AE20">
        <f t="shared" si="6"/>
        <v>32</v>
      </c>
      <c r="AF20">
        <f t="shared" si="7"/>
        <v>9</v>
      </c>
    </row>
    <row r="21" spans="1:37" x14ac:dyDescent="0.25">
      <c r="A21">
        <v>6</v>
      </c>
      <c r="B21" t="s">
        <v>119</v>
      </c>
      <c r="AA21" t="s">
        <v>16</v>
      </c>
      <c r="AB21" s="2">
        <f>SUMIFS(Data[Revenue],Data[Region],Region,Data[Month],CurrentMonth,Data[Year],CurrentYear,Data[Product Name],Pivots!AA21)</f>
        <v>194.85</v>
      </c>
      <c r="AC21" s="2">
        <f>SUMIFS(Data[Revenue],Data[Region],Region,Data[Month],PreviousMonth,Data[Year],PreviousYear,Data[Product Name],Pivots!AA21)</f>
        <v>0</v>
      </c>
      <c r="AD21" s="2">
        <f t="shared" si="5"/>
        <v>194.85</v>
      </c>
      <c r="AE21">
        <f t="shared" si="6"/>
        <v>17</v>
      </c>
      <c r="AF21">
        <f t="shared" si="7"/>
        <v>24</v>
      </c>
    </row>
    <row r="22" spans="1:37" x14ac:dyDescent="0.25">
      <c r="A22">
        <v>7</v>
      </c>
      <c r="B22" t="s">
        <v>120</v>
      </c>
      <c r="AA22" t="s">
        <v>23</v>
      </c>
      <c r="AB22" s="2">
        <f>SUMIFS(Data[Revenue],Data[Region],Region,Data[Month],CurrentMonth,Data[Year],CurrentYear,Data[Product Name],Pivots!AA22)</f>
        <v>1533.4099999999999</v>
      </c>
      <c r="AC22" s="2">
        <f>SUMIFS(Data[Revenue],Data[Region],Region,Data[Month],PreviousMonth,Data[Year],PreviousYear,Data[Product Name],Pivots!AA22)</f>
        <v>649.75</v>
      </c>
      <c r="AD22" s="2">
        <f t="shared" si="5"/>
        <v>883.65999999999985</v>
      </c>
      <c r="AE22">
        <f t="shared" si="6"/>
        <v>7</v>
      </c>
      <c r="AF22">
        <f t="shared" si="7"/>
        <v>34</v>
      </c>
    </row>
    <row r="23" spans="1:37" x14ac:dyDescent="0.25">
      <c r="A23">
        <v>8</v>
      </c>
      <c r="B23" t="s">
        <v>121</v>
      </c>
      <c r="AA23" t="s">
        <v>10</v>
      </c>
      <c r="AB23" s="2">
        <f>SUMIFS(Data[Revenue],Data[Region],Region,Data[Month],CurrentMonth,Data[Year],CurrentYear,Data[Product Name],Pivots!AA23)</f>
        <v>2018.9899999999998</v>
      </c>
      <c r="AC23" s="2">
        <f>SUMIFS(Data[Revenue],Data[Region],Region,Data[Month],PreviousMonth,Data[Year],PreviousYear,Data[Product Name],Pivots!AA23)</f>
        <v>359.82</v>
      </c>
      <c r="AD23" s="2">
        <f t="shared" si="5"/>
        <v>1659.1699999999998</v>
      </c>
      <c r="AE23">
        <f t="shared" si="6"/>
        <v>5</v>
      </c>
      <c r="AF23">
        <f t="shared" si="7"/>
        <v>36</v>
      </c>
    </row>
    <row r="24" spans="1:37" x14ac:dyDescent="0.25">
      <c r="A24">
        <v>9</v>
      </c>
      <c r="B24" t="s">
        <v>122</v>
      </c>
      <c r="AA24" t="s">
        <v>66</v>
      </c>
      <c r="AB24" s="2">
        <f>SUMIFS(Data[Revenue],Data[Region],Region,Data[Month],CurrentMonth,Data[Year],CurrentYear,Data[Product Name],Pivots!AA24)</f>
        <v>0</v>
      </c>
      <c r="AC24" s="2">
        <f>SUMIFS(Data[Revenue],Data[Region],Region,Data[Month],PreviousMonth,Data[Year],PreviousYear,Data[Product Name],Pivots!AA24)</f>
        <v>249.89999999999998</v>
      </c>
      <c r="AD24" s="2">
        <f t="shared" si="5"/>
        <v>-249.89999999999998</v>
      </c>
      <c r="AE24">
        <f t="shared" si="6"/>
        <v>27</v>
      </c>
      <c r="AF24">
        <f t="shared" si="7"/>
        <v>14</v>
      </c>
    </row>
    <row r="25" spans="1:37" x14ac:dyDescent="0.25">
      <c r="A25">
        <v>10</v>
      </c>
      <c r="B25" t="s">
        <v>123</v>
      </c>
      <c r="AA25" t="s">
        <v>29</v>
      </c>
      <c r="AB25" s="2">
        <f>SUMIFS(Data[Revenue],Data[Region],Region,Data[Month],CurrentMonth,Data[Year],CurrentYear,Data[Product Name],Pivots!AA25)</f>
        <v>0</v>
      </c>
      <c r="AC25" s="2">
        <f>SUMIFS(Data[Revenue],Data[Region],Region,Data[Month],PreviousMonth,Data[Year],PreviousYear,Data[Product Name],Pivots!AA25)</f>
        <v>0</v>
      </c>
      <c r="AD25" s="2">
        <f t="shared" si="5"/>
        <v>0</v>
      </c>
      <c r="AE25">
        <f t="shared" si="6"/>
        <v>21</v>
      </c>
      <c r="AF25">
        <f t="shared" si="7"/>
        <v>20</v>
      </c>
    </row>
    <row r="26" spans="1:37" x14ac:dyDescent="0.25">
      <c r="A26">
        <v>11</v>
      </c>
      <c r="B26" t="s">
        <v>124</v>
      </c>
      <c r="AA26" t="s">
        <v>34</v>
      </c>
      <c r="AB26" s="2">
        <f>SUMIFS(Data[Revenue],Data[Region],Region,Data[Month],CurrentMonth,Data[Year],CurrentYear,Data[Product Name],Pivots!AA26)</f>
        <v>1049.3700000000001</v>
      </c>
      <c r="AC26" s="2">
        <f>SUMIFS(Data[Revenue],Data[Region],Region,Data[Month],PreviousMonth,Data[Year],PreviousYear,Data[Product Name],Pivots!AA26)</f>
        <v>211.47000000000003</v>
      </c>
      <c r="AD26" s="2">
        <f t="shared" si="5"/>
        <v>837.90000000000009</v>
      </c>
      <c r="AE26">
        <f t="shared" si="6"/>
        <v>8</v>
      </c>
      <c r="AF26">
        <f t="shared" si="7"/>
        <v>33</v>
      </c>
    </row>
    <row r="27" spans="1:37" x14ac:dyDescent="0.25">
      <c r="A27">
        <v>12</v>
      </c>
      <c r="B27" t="s">
        <v>125</v>
      </c>
      <c r="AA27" t="s">
        <v>70</v>
      </c>
      <c r="AB27" s="2">
        <f>SUMIFS(Data[Revenue],Data[Region],Region,Data[Month],CurrentMonth,Data[Year],CurrentYear,Data[Product Name],Pivots!AA27)</f>
        <v>0</v>
      </c>
      <c r="AC27" s="2">
        <f>SUMIFS(Data[Revenue],Data[Region],Region,Data[Month],PreviousMonth,Data[Year],PreviousYear,Data[Product Name],Pivots!AA27)</f>
        <v>748.75</v>
      </c>
      <c r="AD27" s="2">
        <f t="shared" si="5"/>
        <v>-748.75</v>
      </c>
      <c r="AE27">
        <f t="shared" si="6"/>
        <v>34</v>
      </c>
      <c r="AF27">
        <f t="shared" si="7"/>
        <v>7</v>
      </c>
    </row>
    <row r="28" spans="1:37" x14ac:dyDescent="0.25">
      <c r="AA28" t="s">
        <v>67</v>
      </c>
      <c r="AB28" s="2">
        <f>SUMIFS(Data[Revenue],Data[Region],Region,Data[Month],CurrentMonth,Data[Year],CurrentYear,Data[Product Name],Pivots!AA28)</f>
        <v>0</v>
      </c>
      <c r="AC28" s="2">
        <f>SUMIFS(Data[Revenue],Data[Region],Region,Data[Month],PreviousMonth,Data[Year],PreviousYear,Data[Product Name],Pivots!AA28)</f>
        <v>464.69000000000005</v>
      </c>
      <c r="AD28" s="2">
        <f t="shared" si="5"/>
        <v>-464.69000000000005</v>
      </c>
      <c r="AE28">
        <f t="shared" si="6"/>
        <v>31</v>
      </c>
      <c r="AF28">
        <f t="shared" si="7"/>
        <v>10</v>
      </c>
    </row>
    <row r="29" spans="1:37" x14ac:dyDescent="0.25">
      <c r="AA29" t="s">
        <v>37</v>
      </c>
      <c r="AB29" s="2">
        <f>SUMIFS(Data[Revenue],Data[Region],Region,Data[Month],CurrentMonth,Data[Year],CurrentYear,Data[Product Name],Pivots!AA29)</f>
        <v>174.92999999999998</v>
      </c>
      <c r="AC29" s="2">
        <f>SUMIFS(Data[Revenue],Data[Region],Region,Data[Month],PreviousMonth,Data[Year],PreviousYear,Data[Product Name],Pivots!AA29)</f>
        <v>249.89999999999998</v>
      </c>
      <c r="AD29" s="2">
        <f t="shared" si="5"/>
        <v>-74.97</v>
      </c>
      <c r="AE29">
        <f t="shared" si="6"/>
        <v>25</v>
      </c>
      <c r="AF29">
        <f t="shared" si="7"/>
        <v>16</v>
      </c>
    </row>
    <row r="30" spans="1:37" x14ac:dyDescent="0.25">
      <c r="AA30" t="s">
        <v>38</v>
      </c>
      <c r="AB30" s="2">
        <f>SUMIFS(Data[Revenue],Data[Region],Region,Data[Month],CurrentMonth,Data[Year],CurrentYear,Data[Product Name],Pivots!AA30)</f>
        <v>0</v>
      </c>
      <c r="AC30" s="2">
        <f>SUMIFS(Data[Revenue],Data[Region],Region,Data[Month],PreviousMonth,Data[Year],PreviousYear,Data[Product Name],Pivots!AA30)</f>
        <v>949.05</v>
      </c>
      <c r="AD30" s="2">
        <f t="shared" si="5"/>
        <v>-949.05</v>
      </c>
      <c r="AE30">
        <f t="shared" si="6"/>
        <v>37</v>
      </c>
      <c r="AF30">
        <f t="shared" si="7"/>
        <v>4</v>
      </c>
    </row>
    <row r="31" spans="1:37" x14ac:dyDescent="0.25">
      <c r="AA31" t="s">
        <v>39</v>
      </c>
      <c r="AB31" s="2">
        <f>SUMIFS(Data[Revenue],Data[Region],Region,Data[Month],CurrentMonth,Data[Year],CurrentYear,Data[Product Name],Pivots!AA31)</f>
        <v>379.80999999999995</v>
      </c>
      <c r="AC31" s="2">
        <f>SUMIFS(Data[Revenue],Data[Region],Region,Data[Month],PreviousMonth,Data[Year],PreviousYear,Data[Product Name],Pivots!AA31)</f>
        <v>399.79999999999995</v>
      </c>
      <c r="AD31" s="2">
        <f t="shared" si="5"/>
        <v>-19.990000000000009</v>
      </c>
      <c r="AE31">
        <f t="shared" si="6"/>
        <v>24</v>
      </c>
      <c r="AF31">
        <f t="shared" si="7"/>
        <v>17</v>
      </c>
    </row>
    <row r="32" spans="1:37" x14ac:dyDescent="0.25">
      <c r="AA32" t="s">
        <v>68</v>
      </c>
      <c r="AB32" s="2">
        <f>SUMIFS(Data[Revenue],Data[Region],Region,Data[Month],CurrentMonth,Data[Year],CurrentYear,Data[Product Name],Pivots!AA32)</f>
        <v>0</v>
      </c>
      <c r="AC32" s="2">
        <f>SUMIFS(Data[Revenue],Data[Region],Region,Data[Month],PreviousMonth,Data[Year],PreviousYear,Data[Product Name],Pivots!AA32)</f>
        <v>776.62999999999988</v>
      </c>
      <c r="AD32" s="2">
        <f t="shared" si="5"/>
        <v>-776.62999999999988</v>
      </c>
      <c r="AE32">
        <f t="shared" si="6"/>
        <v>35</v>
      </c>
      <c r="AF32">
        <f t="shared" si="7"/>
        <v>6</v>
      </c>
    </row>
    <row r="33" spans="27:32" x14ac:dyDescent="0.25">
      <c r="AA33" t="s">
        <v>42</v>
      </c>
      <c r="AB33" s="2">
        <f>SUMIFS(Data[Revenue],Data[Region],Region,Data[Month],CurrentMonth,Data[Year],CurrentYear,Data[Product Name],Pivots!AA33)</f>
        <v>6523.92</v>
      </c>
      <c r="AC33" s="2">
        <f>SUMIFS(Data[Revenue],Data[Region],Region,Data[Month],PreviousMonth,Data[Year],PreviousYear,Data[Product Name],Pivots!AA33)</f>
        <v>0</v>
      </c>
      <c r="AD33" s="2">
        <f t="shared" si="5"/>
        <v>6523.92</v>
      </c>
      <c r="AE33">
        <f t="shared" si="6"/>
        <v>1</v>
      </c>
      <c r="AF33">
        <f t="shared" si="7"/>
        <v>40</v>
      </c>
    </row>
    <row r="34" spans="27:32" x14ac:dyDescent="0.25">
      <c r="AA34" t="s">
        <v>41</v>
      </c>
      <c r="AB34" s="2">
        <f>SUMIFS(Data[Revenue],Data[Region],Region,Data[Month],CurrentMonth,Data[Year],CurrentYear,Data[Product Name],Pivots!AA34)</f>
        <v>259.74</v>
      </c>
      <c r="AC34" s="2">
        <f>SUMIFS(Data[Revenue],Data[Region],Region,Data[Month],PreviousMonth,Data[Year],PreviousYear,Data[Product Name],Pivots!AA34)</f>
        <v>0</v>
      </c>
      <c r="AD34" s="2">
        <f t="shared" si="5"/>
        <v>259.74</v>
      </c>
      <c r="AE34">
        <f t="shared" si="6"/>
        <v>14</v>
      </c>
      <c r="AF34">
        <f t="shared" si="7"/>
        <v>27</v>
      </c>
    </row>
    <row r="35" spans="27:32" x14ac:dyDescent="0.25">
      <c r="AA35" t="s">
        <v>43</v>
      </c>
      <c r="AB35" s="2">
        <f>SUMIFS(Data[Revenue],Data[Region],Region,Data[Month],CurrentMonth,Data[Year],CurrentYear,Data[Product Name],Pivots!AA35)</f>
        <v>503.76</v>
      </c>
      <c r="AC35" s="2">
        <f>SUMIFS(Data[Revenue],Data[Region],Region,Data[Month],PreviousMonth,Data[Year],PreviousYear,Data[Product Name],Pivots!AA35)</f>
        <v>0</v>
      </c>
      <c r="AD35" s="2">
        <f t="shared" si="5"/>
        <v>503.76</v>
      </c>
      <c r="AE35">
        <f t="shared" si="6"/>
        <v>12</v>
      </c>
      <c r="AF35">
        <f t="shared" si="7"/>
        <v>29</v>
      </c>
    </row>
    <row r="36" spans="27:32" x14ac:dyDescent="0.25">
      <c r="AA36" t="s">
        <v>69</v>
      </c>
      <c r="AB36" s="2">
        <f>SUMIFS(Data[Revenue],Data[Region],Region,Data[Month],CurrentMonth,Data[Year],CurrentYear,Data[Product Name],Pivots!AA36)</f>
        <v>0</v>
      </c>
      <c r="AC36" s="2">
        <f>SUMIFS(Data[Revenue],Data[Region],Region,Data[Month],PreviousMonth,Data[Year],PreviousYear,Data[Product Name],Pivots!AA36)</f>
        <v>0</v>
      </c>
      <c r="AD36" s="2">
        <f t="shared" si="5"/>
        <v>0</v>
      </c>
      <c r="AE36">
        <f t="shared" si="6"/>
        <v>21</v>
      </c>
      <c r="AF36">
        <f t="shared" si="7"/>
        <v>20</v>
      </c>
    </row>
    <row r="37" spans="27:32" x14ac:dyDescent="0.25">
      <c r="AA37" t="s">
        <v>44</v>
      </c>
      <c r="AB37" s="2">
        <f>SUMIFS(Data[Revenue],Data[Region],Region,Data[Month],CurrentMonth,Data[Year],CurrentYear,Data[Product Name],Pivots!AA37)</f>
        <v>1234.97</v>
      </c>
      <c r="AC37" s="2">
        <f>SUMIFS(Data[Revenue],Data[Region],Region,Data[Month],PreviousMonth,Data[Year],PreviousYear,Data[Product Name],Pivots!AA37)</f>
        <v>0</v>
      </c>
      <c r="AD37" s="2">
        <f t="shared" si="5"/>
        <v>1234.97</v>
      </c>
      <c r="AE37">
        <f t="shared" si="6"/>
        <v>6</v>
      </c>
      <c r="AF37">
        <f t="shared" si="7"/>
        <v>35</v>
      </c>
    </row>
    <row r="38" spans="27:32" x14ac:dyDescent="0.25">
      <c r="AA38" t="s">
        <v>40</v>
      </c>
      <c r="AB38" s="2">
        <f>SUMIFS(Data[Revenue],Data[Region],Region,Data[Month],CurrentMonth,Data[Year],CurrentYear,Data[Product Name],Pivots!AA38)</f>
        <v>524.75</v>
      </c>
      <c r="AC38" s="2">
        <f>SUMIFS(Data[Revenue],Data[Region],Region,Data[Month],PreviousMonth,Data[Year],PreviousYear,Data[Product Name],Pivots!AA38)</f>
        <v>0</v>
      </c>
      <c r="AD38" s="2">
        <f t="shared" si="5"/>
        <v>524.75</v>
      </c>
      <c r="AE38">
        <f t="shared" si="6"/>
        <v>11</v>
      </c>
      <c r="AF38">
        <f t="shared" si="7"/>
        <v>30</v>
      </c>
    </row>
    <row r="39" spans="27:32" x14ac:dyDescent="0.25">
      <c r="AA39" t="s">
        <v>22</v>
      </c>
      <c r="AB39" s="2">
        <f>SUMIFS(Data[Revenue],Data[Region],Region,Data[Month],CurrentMonth,Data[Year],CurrentYear,Data[Product Name],Pivots!AA39)</f>
        <v>739.2600000000001</v>
      </c>
      <c r="AC39" s="2">
        <f>SUMIFS(Data[Revenue],Data[Region],Region,Data[Month],PreviousMonth,Data[Year],PreviousYear,Data[Product Name],Pivots!AA39)</f>
        <v>0</v>
      </c>
      <c r="AD39" s="2">
        <f t="shared" si="5"/>
        <v>739.2600000000001</v>
      </c>
      <c r="AE39">
        <f t="shared" si="6"/>
        <v>9</v>
      </c>
      <c r="AF39">
        <f t="shared" si="7"/>
        <v>32</v>
      </c>
    </row>
    <row r="40" spans="27:32" x14ac:dyDescent="0.25">
      <c r="AA40" t="s">
        <v>45</v>
      </c>
      <c r="AB40" s="2">
        <f>SUMIFS(Data[Revenue],Data[Region],Region,Data[Month],CurrentMonth,Data[Year],CurrentYear,Data[Product Name],Pivots!AA40)</f>
        <v>2274.9300000000003</v>
      </c>
      <c r="AC40" s="2">
        <f>SUMIFS(Data[Revenue],Data[Region],Region,Data[Month],PreviousMonth,Data[Year],PreviousYear,Data[Product Name],Pivots!AA40)</f>
        <v>0</v>
      </c>
      <c r="AD40" s="2">
        <f t="shared" si="5"/>
        <v>2274.9300000000003</v>
      </c>
      <c r="AE40">
        <f t="shared" si="6"/>
        <v>4</v>
      </c>
      <c r="AF40">
        <f t="shared" si="7"/>
        <v>37</v>
      </c>
    </row>
    <row r="41" spans="27:32" x14ac:dyDescent="0.25">
      <c r="AA41" t="s">
        <v>36</v>
      </c>
      <c r="AB41" s="2">
        <f>SUMIFS(Data[Revenue],Data[Region],Region,Data[Month],CurrentMonth,Data[Year],CurrentYear,Data[Product Name],Pivots!AA41)</f>
        <v>0</v>
      </c>
      <c r="AC41" s="2">
        <f>SUMIFS(Data[Revenue],Data[Region],Region,Data[Month],PreviousMonth,Data[Year],PreviousYear,Data[Product Name],Pivots!AA41)</f>
        <v>0</v>
      </c>
      <c r="AD41" s="2">
        <f t="shared" si="5"/>
        <v>0</v>
      </c>
      <c r="AE41">
        <f t="shared" si="6"/>
        <v>21</v>
      </c>
      <c r="AF41">
        <f t="shared" si="7"/>
        <v>20</v>
      </c>
    </row>
    <row r="42" spans="27:32" x14ac:dyDescent="0.25">
      <c r="AA42" t="s">
        <v>35</v>
      </c>
      <c r="AB42" s="2">
        <f>SUMIFS(Data[Revenue],Data[Region],Region,Data[Month],CurrentMonth,Data[Year],CurrentYear,Data[Product Name],Pivots!AA42)</f>
        <v>371.38000000000005</v>
      </c>
      <c r="AC42" s="2">
        <f>SUMIFS(Data[Revenue],Data[Region],Region,Data[Month],PreviousMonth,Data[Year],PreviousYear,Data[Product Name],Pivots!AA42)</f>
        <v>0</v>
      </c>
      <c r="AD42" s="2">
        <f t="shared" si="5"/>
        <v>371.38000000000005</v>
      </c>
      <c r="AE42">
        <f t="shared" si="6"/>
        <v>13</v>
      </c>
      <c r="AF42">
        <f t="shared" si="7"/>
        <v>28</v>
      </c>
    </row>
    <row r="43" spans="27:32" x14ac:dyDescent="0.25">
      <c r="AB43" s="2"/>
      <c r="AC43" s="2"/>
      <c r="AD43" s="2"/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U3:U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10E-CAC4-4993-B82D-341136ACE296}">
  <dimension ref="B6:T37"/>
  <sheetViews>
    <sheetView showGridLines="0" tabSelected="1" workbookViewId="0">
      <selection activeCell="C6" sqref="C6"/>
    </sheetView>
  </sheetViews>
  <sheetFormatPr defaultRowHeight="15" x14ac:dyDescent="0.25"/>
  <cols>
    <col min="1" max="1" width="6.28515625" customWidth="1"/>
    <col min="2" max="2" width="16.85546875" customWidth="1"/>
    <col min="3" max="3" width="24.140625" bestFit="1" customWidth="1"/>
    <col min="5" max="5" width="12.7109375" customWidth="1"/>
    <col min="18" max="18" width="17.7109375" bestFit="1" customWidth="1"/>
    <col min="19" max="19" width="9.140625" bestFit="1" customWidth="1"/>
    <col min="20" max="20" width="21.28515625" bestFit="1" customWidth="1"/>
  </cols>
  <sheetData>
    <row r="6" spans="2:20" ht="31.5" x14ac:dyDescent="0.5">
      <c r="B6" s="30" t="s">
        <v>112</v>
      </c>
      <c r="C6" s="36" t="s">
        <v>4</v>
      </c>
      <c r="D6" s="31" t="s">
        <v>126</v>
      </c>
      <c r="F6" s="25" t="str">
        <f>Pivots!B13</f>
        <v>September 2021?</v>
      </c>
    </row>
    <row r="13" spans="2:20" x14ac:dyDescent="0.25">
      <c r="R13" t="s">
        <v>105</v>
      </c>
      <c r="S13" t="s">
        <v>46</v>
      </c>
      <c r="T13" t="s">
        <v>139</v>
      </c>
    </row>
    <row r="14" spans="2:20" x14ac:dyDescent="0.25">
      <c r="R14" t="str">
        <f>Pivots!AI3</f>
        <v>Magic Sand</v>
      </c>
      <c r="S14" s="33">
        <f>Pivots!AJ3</f>
        <v>6523.92</v>
      </c>
      <c r="T14" s="33">
        <f>Pivots!AK3</f>
        <v>6523.92</v>
      </c>
    </row>
    <row r="15" spans="2:20" x14ac:dyDescent="0.25">
      <c r="R15" t="str">
        <f>Pivots!AI4</f>
        <v>Lego Bricks</v>
      </c>
      <c r="S15" s="33">
        <f>Pivots!AJ4</f>
        <v>4918.7700000000004</v>
      </c>
      <c r="T15" s="33">
        <f>Pivots!AK4</f>
        <v>3119.2200000000003</v>
      </c>
    </row>
    <row r="16" spans="2:20" x14ac:dyDescent="0.25">
      <c r="R16" t="str">
        <f>Pivots!AI5</f>
        <v>Dino Egg</v>
      </c>
      <c r="S16" s="33">
        <f>Pivots!AJ5</f>
        <v>2659.58</v>
      </c>
      <c r="T16" s="33">
        <f>Pivots!AK5</f>
        <v>2659.58</v>
      </c>
    </row>
    <row r="17" spans="18:20" x14ac:dyDescent="0.25">
      <c r="R17" t="str">
        <f>Pivots!AI6</f>
        <v>Playfoam</v>
      </c>
      <c r="S17" s="33">
        <f>Pivots!AJ6</f>
        <v>2274.9300000000003</v>
      </c>
      <c r="T17" s="33">
        <f>Pivots!AK6</f>
        <v>2274.9300000000003</v>
      </c>
    </row>
    <row r="18" spans="18:20" x14ac:dyDescent="0.25">
      <c r="R18" t="str">
        <f>Pivots!AI7</f>
        <v>Nerf Gun</v>
      </c>
      <c r="S18" s="33">
        <f>Pivots!AJ7</f>
        <v>2018.9899999999998</v>
      </c>
      <c r="T18" s="33">
        <f>Pivots!AK7</f>
        <v>1659.1699999999998</v>
      </c>
    </row>
    <row r="19" spans="18:20" x14ac:dyDescent="0.25">
      <c r="R19" t="str">
        <f>Pivots!AI8</f>
        <v>Foam Disk Launcher</v>
      </c>
      <c r="S19" s="33">
        <f>Pivots!AJ8</f>
        <v>1234.97</v>
      </c>
      <c r="T19" s="33">
        <f>Pivots!AK8</f>
        <v>1234.97</v>
      </c>
    </row>
    <row r="20" spans="18:20" x14ac:dyDescent="0.25">
      <c r="S20" s="33"/>
      <c r="T20" s="34">
        <f>SUM(T14:T19)</f>
        <v>17471.79</v>
      </c>
    </row>
    <row r="30" spans="18:20" x14ac:dyDescent="0.25">
      <c r="R30" t="s">
        <v>105</v>
      </c>
      <c r="S30" t="s">
        <v>46</v>
      </c>
      <c r="T30" t="s">
        <v>139</v>
      </c>
    </row>
    <row r="31" spans="18:20" x14ac:dyDescent="0.25">
      <c r="R31" t="str">
        <f>Pivots!AI12</f>
        <v>Colorbuds</v>
      </c>
      <c r="S31" s="33">
        <f>Pivots!AJ12</f>
        <v>4467.0200000000004</v>
      </c>
      <c r="T31" s="33">
        <f>Pivots!AK12</f>
        <v>-3567.619999999999</v>
      </c>
    </row>
    <row r="32" spans="18:20" x14ac:dyDescent="0.25">
      <c r="R32" t="str">
        <f>Pivots!AI13</f>
        <v>Dart Gun</v>
      </c>
      <c r="S32" s="33">
        <f>Pivots!AJ13</f>
        <v>575.64</v>
      </c>
      <c r="T32" s="33">
        <f>Pivots!AK13</f>
        <v>-2910.1800000000003</v>
      </c>
    </row>
    <row r="33" spans="18:20" x14ac:dyDescent="0.25">
      <c r="R33" t="str">
        <f>Pivots!AI14</f>
        <v>Rubik's Cube</v>
      </c>
      <c r="S33" s="33">
        <f>Pivots!AJ14</f>
        <v>1479.2599999999998</v>
      </c>
      <c r="T33" s="33">
        <f>Pivots!AK14</f>
        <v>-2278.86</v>
      </c>
    </row>
    <row r="34" spans="18:20" x14ac:dyDescent="0.25">
      <c r="R34" t="str">
        <f>Pivots!AI15</f>
        <v>Jenga</v>
      </c>
      <c r="S34" s="33">
        <f>Pivots!AJ15</f>
        <v>0</v>
      </c>
      <c r="T34" s="33">
        <f>Pivots!AK15</f>
        <v>-949.05</v>
      </c>
    </row>
    <row r="35" spans="18:20" x14ac:dyDescent="0.25">
      <c r="R35" t="str">
        <f>Pivots!AI16</f>
        <v>Action Figure</v>
      </c>
      <c r="S35" s="33">
        <f>Pivots!AJ16</f>
        <v>1662.96</v>
      </c>
      <c r="T35" s="33">
        <f>Pivots!AK16</f>
        <v>-831.48</v>
      </c>
    </row>
    <row r="36" spans="18:20" x14ac:dyDescent="0.25">
      <c r="R36" t="str">
        <f>Pivots!AI17</f>
        <v>Gamer Headset</v>
      </c>
      <c r="S36" s="33">
        <f>Pivots!AJ17</f>
        <v>0</v>
      </c>
      <c r="T36" s="33">
        <f>Pivots!AK17</f>
        <v>-776.62999999999988</v>
      </c>
    </row>
    <row r="37" spans="18:20" x14ac:dyDescent="0.25">
      <c r="S37" s="33"/>
      <c r="T37" s="35">
        <f>SUM(T31:T36)</f>
        <v>-11313.819999999998</v>
      </c>
    </row>
  </sheetData>
  <conditionalFormatting sqref="T14:T19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T31:T37">
    <cfRule type="colorScale" priority="3">
      <colorScale>
        <cfvo type="min"/>
        <cfvo type="max"/>
        <color theme="0"/>
        <color rgb="FFFF0000"/>
      </colorScale>
    </cfRule>
  </conditionalFormatting>
  <conditionalFormatting sqref="T31:T36">
    <cfRule type="colorScale" priority="1">
      <colorScale>
        <cfvo type="min"/>
        <cfvo type="max"/>
        <color rgb="FFFF0000"/>
        <color theme="0"/>
      </colorScale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61A5A3-11D2-41D7-81B7-9DC45932A1C0}">
          <x14:formula1>
            <xm:f>Pivots!$A$3:$A$5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Data Prep</vt:lpstr>
      <vt:lpstr>Dashboard</vt:lpstr>
      <vt:lpstr>New Data (Aug 2021)</vt:lpstr>
      <vt:lpstr>New Data (Sep 2021)</vt:lpstr>
      <vt:lpstr>Data</vt:lpstr>
      <vt:lpstr>Pivots</vt:lpstr>
      <vt:lpstr>Dash</vt:lpstr>
      <vt:lpstr>CurMonth</vt:lpstr>
      <vt:lpstr>CurrentMonth</vt:lpstr>
      <vt:lpstr>CurrentYear</vt:lpstr>
      <vt:lpstr>CurYear</vt:lpstr>
      <vt:lpstr>PMYear</vt:lpstr>
      <vt:lpstr>PreviousMonth</vt:lpstr>
      <vt:lpstr>PreviousMonthYear</vt:lpstr>
      <vt:lpstr>PreviousYear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Ákos Szekeres</cp:lastModifiedBy>
  <dcterms:created xsi:type="dcterms:W3CDTF">2021-07-16T18:17:37Z</dcterms:created>
  <dcterms:modified xsi:type="dcterms:W3CDTF">2022-08-28T19:49:33Z</dcterms:modified>
</cp:coreProperties>
</file>