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https://cdfw-my.sharepoint.com/personal/jason_dubois_wildlife_ca_gov/Documents/Documents/RProjects/SturgeonPopModel/blackburn_code/GearSelectivty/"/>
    </mc:Choice>
  </mc:AlternateContent>
  <xr:revisionPtr revIDLastSave="141" documentId="8_{FA99365A-44E1-4BB9-A693-D4FD37ED5F16}" xr6:coauthVersionLast="45" xr6:coauthVersionMax="45" xr10:uidLastSave="{6277B2DD-550E-45BB-826E-9C8EDD2905E3}"/>
  <bookViews>
    <workbookView minimized="1" xWindow="11205" yWindow="1125" windowWidth="7680" windowHeight="8190" xr2:uid="{00000000-000D-0000-FFFF-FFFF00000000}"/>
  </bookViews>
  <sheets>
    <sheet name="FL" sheetId="1" r:id="rId1"/>
    <sheet name="norm.loc" sheetId="3" r:id="rId2"/>
    <sheet name="bi.norm" sheetId="5" r:id="rId3"/>
    <sheet name="Sheet2" sheetId="18" r:id="rId4"/>
    <sheet name="ALK" sheetId="7" r:id="rId5"/>
    <sheet name="Abundance" sheetId="9" r:id="rId6"/>
    <sheet name="Mortality " sheetId="8" r:id="rId7"/>
    <sheet name="Pop_numbers" sheetId="12" r:id="rId8"/>
    <sheet name="vonBs" sheetId="13" r:id="rId9"/>
    <sheet name="Sheet1" sheetId="16" r:id="rId10"/>
    <sheet name="Abundance (2)" sheetId="17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5" l="1"/>
  <c r="F2" i="5"/>
  <c r="E36" i="5"/>
  <c r="M24" i="9" l="1"/>
  <c r="B32" i="8" l="1"/>
  <c r="C20" i="9" l="1"/>
  <c r="H2" i="5" l="1"/>
  <c r="J28" i="17" l="1"/>
  <c r="F28" i="17"/>
  <c r="G28" i="17" s="1"/>
  <c r="H28" i="17" s="1"/>
  <c r="J24" i="17"/>
  <c r="K24" i="17" s="1"/>
  <c r="M24" i="17" s="1"/>
  <c r="J23" i="17"/>
  <c r="I23" i="17"/>
  <c r="C23" i="17"/>
  <c r="D23" i="17" s="1"/>
  <c r="E23" i="17" s="1"/>
  <c r="J22" i="17"/>
  <c r="I22" i="17"/>
  <c r="C22" i="17"/>
  <c r="D22" i="17" s="1"/>
  <c r="E22" i="17" s="1"/>
  <c r="J21" i="17"/>
  <c r="I21" i="17"/>
  <c r="C21" i="17"/>
  <c r="D21" i="17" s="1"/>
  <c r="E21" i="17" s="1"/>
  <c r="J20" i="17"/>
  <c r="I20" i="17"/>
  <c r="C20" i="17"/>
  <c r="D20" i="17" s="1"/>
  <c r="J19" i="17"/>
  <c r="I19" i="17"/>
  <c r="C19" i="17"/>
  <c r="D19" i="17" s="1"/>
  <c r="E19" i="17" s="1"/>
  <c r="J18" i="17"/>
  <c r="I18" i="17"/>
  <c r="C18" i="17"/>
  <c r="D18" i="17" s="1"/>
  <c r="E18" i="17" s="1"/>
  <c r="J17" i="17"/>
  <c r="I17" i="17"/>
  <c r="C17" i="17"/>
  <c r="D17" i="17" s="1"/>
  <c r="E17" i="17" s="1"/>
  <c r="J16" i="17"/>
  <c r="I16" i="17"/>
  <c r="C16" i="17"/>
  <c r="D16" i="17" s="1"/>
  <c r="E16" i="17" s="1"/>
  <c r="J15" i="17"/>
  <c r="I15" i="17"/>
  <c r="C15" i="17"/>
  <c r="D15" i="17" s="1"/>
  <c r="E15" i="17" s="1"/>
  <c r="J14" i="17"/>
  <c r="J25" i="17" s="1"/>
  <c r="I14" i="17"/>
  <c r="C14" i="17"/>
  <c r="D14" i="17" s="1"/>
  <c r="E14" i="17" s="1"/>
  <c r="I13" i="17"/>
  <c r="C13" i="17"/>
  <c r="D13" i="17" s="1"/>
  <c r="E13" i="17" s="1"/>
  <c r="I12" i="17"/>
  <c r="C12" i="17"/>
  <c r="D12" i="17" s="1"/>
  <c r="E12" i="17" s="1"/>
  <c r="I11" i="17"/>
  <c r="C11" i="17"/>
  <c r="D11" i="17" s="1"/>
  <c r="E11" i="17" s="1"/>
  <c r="I10" i="17"/>
  <c r="C10" i="17"/>
  <c r="D10" i="17" s="1"/>
  <c r="E10" i="17" s="1"/>
  <c r="I9" i="17"/>
  <c r="C9" i="17"/>
  <c r="D9" i="17" s="1"/>
  <c r="E9" i="17" s="1"/>
  <c r="I8" i="17"/>
  <c r="C8" i="17"/>
  <c r="I7" i="17"/>
  <c r="C7" i="17"/>
  <c r="D7" i="17" s="1"/>
  <c r="E7" i="17" s="1"/>
  <c r="B28" i="17" l="1"/>
  <c r="D8" i="17"/>
  <c r="E8" i="17" s="1"/>
  <c r="E20" i="17"/>
  <c r="K20" i="17" s="1"/>
  <c r="M20" i="17" s="1"/>
  <c r="K19" i="17"/>
  <c r="M19" i="17" s="1"/>
  <c r="K17" i="17"/>
  <c r="M17" i="17" s="1"/>
  <c r="K16" i="17"/>
  <c r="M16" i="17" s="1"/>
  <c r="K14" i="17"/>
  <c r="M14" i="17" s="1"/>
  <c r="K21" i="17"/>
  <c r="M21" i="17" s="1"/>
  <c r="K18" i="17"/>
  <c r="M18" i="17" s="1"/>
  <c r="K22" i="17"/>
  <c r="M22" i="17" s="1"/>
  <c r="K15" i="17"/>
  <c r="M15" i="17" s="1"/>
  <c r="D24" i="17"/>
  <c r="D25" i="17" s="1"/>
  <c r="K23" i="17"/>
  <c r="M23" i="17" s="1"/>
  <c r="M25" i="17" l="1"/>
  <c r="N25" i="17" s="1"/>
  <c r="O25" i="17" s="1"/>
  <c r="K26" i="17"/>
  <c r="K2" i="3" l="1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K10" i="3"/>
  <c r="L10" i="3"/>
  <c r="M10" i="3"/>
  <c r="K11" i="3"/>
  <c r="L11" i="3"/>
  <c r="M11" i="3"/>
  <c r="K12" i="3"/>
  <c r="L12" i="3"/>
  <c r="M12" i="3"/>
  <c r="K13" i="3"/>
  <c r="L13" i="3"/>
  <c r="M13" i="3"/>
  <c r="K14" i="3"/>
  <c r="L14" i="3"/>
  <c r="M14" i="3"/>
  <c r="K15" i="3"/>
  <c r="L15" i="3"/>
  <c r="M15" i="3"/>
  <c r="K16" i="3"/>
  <c r="L16" i="3"/>
  <c r="M16" i="3"/>
  <c r="K17" i="3"/>
  <c r="L17" i="3"/>
  <c r="M17" i="3"/>
  <c r="K18" i="3"/>
  <c r="L18" i="3"/>
  <c r="M18" i="3"/>
  <c r="K19" i="3"/>
  <c r="L19" i="3"/>
  <c r="M19" i="3"/>
  <c r="K20" i="3"/>
  <c r="L20" i="3"/>
  <c r="M20" i="3"/>
  <c r="K21" i="3"/>
  <c r="L21" i="3"/>
  <c r="M21" i="3"/>
  <c r="K22" i="3"/>
  <c r="L22" i="3"/>
  <c r="M22" i="3"/>
  <c r="K23" i="3"/>
  <c r="L23" i="3"/>
  <c r="M23" i="3"/>
  <c r="K24" i="3"/>
  <c r="L24" i="3"/>
  <c r="M24" i="3"/>
  <c r="K25" i="3"/>
  <c r="L25" i="3"/>
  <c r="M25" i="3"/>
  <c r="K26" i="3"/>
  <c r="L26" i="3"/>
  <c r="M26" i="3"/>
  <c r="K27" i="3"/>
  <c r="L27" i="3"/>
  <c r="M27" i="3"/>
  <c r="K28" i="3"/>
  <c r="L28" i="3"/>
  <c r="M28" i="3"/>
  <c r="K29" i="3"/>
  <c r="L29" i="3"/>
  <c r="M29" i="3"/>
  <c r="K30" i="3"/>
  <c r="L30" i="3"/>
  <c r="M30" i="3"/>
  <c r="K31" i="3"/>
  <c r="L31" i="3"/>
  <c r="M31" i="3"/>
  <c r="K32" i="3"/>
  <c r="L32" i="3"/>
  <c r="M32" i="3"/>
  <c r="K33" i="3"/>
  <c r="L33" i="3"/>
  <c r="M33" i="3"/>
  <c r="K34" i="3"/>
  <c r="L34" i="3"/>
  <c r="M34" i="3"/>
  <c r="K35" i="3"/>
  <c r="L35" i="3"/>
  <c r="M35" i="3"/>
  <c r="P2" i="3"/>
  <c r="R3" i="3" s="1"/>
  <c r="R26" i="3" l="1"/>
  <c r="R10" i="3"/>
  <c r="R33" i="3"/>
  <c r="R25" i="3"/>
  <c r="R17" i="3"/>
  <c r="R9" i="3"/>
  <c r="R34" i="3"/>
  <c r="R18" i="3"/>
  <c r="R32" i="3"/>
  <c r="R24" i="3"/>
  <c r="R16" i="3"/>
  <c r="R8" i="3"/>
  <c r="R31" i="3"/>
  <c r="R23" i="3"/>
  <c r="R15" i="3"/>
  <c r="R7" i="3"/>
  <c r="R30" i="3"/>
  <c r="R22" i="3"/>
  <c r="R14" i="3"/>
  <c r="R6" i="3"/>
  <c r="R29" i="3"/>
  <c r="R21" i="3"/>
  <c r="R13" i="3"/>
  <c r="R5" i="3"/>
  <c r="R2" i="3"/>
  <c r="R28" i="3"/>
  <c r="R20" i="3"/>
  <c r="R12" i="3"/>
  <c r="R4" i="3"/>
  <c r="R35" i="3"/>
  <c r="R27" i="3"/>
  <c r="R19" i="3"/>
  <c r="R11" i="3"/>
  <c r="F13" i="8"/>
  <c r="C6" i="16"/>
  <c r="C7" i="16"/>
  <c r="C8" i="16"/>
  <c r="C9" i="16"/>
  <c r="C10" i="16"/>
  <c r="C11" i="16"/>
  <c r="C12" i="16"/>
  <c r="C13" i="16"/>
  <c r="C5" i="16"/>
  <c r="C14" i="16" s="1"/>
  <c r="C4" i="16"/>
  <c r="J28" i="9" l="1"/>
  <c r="K2" i="13" l="1"/>
  <c r="T43" i="8" l="1"/>
  <c r="T46" i="8" s="1"/>
  <c r="U43" i="8"/>
  <c r="U46" i="8" s="1"/>
  <c r="V43" i="8"/>
  <c r="V46" i="8" s="1"/>
  <c r="F43" i="8"/>
  <c r="F46" i="8" s="1"/>
  <c r="G43" i="8"/>
  <c r="G46" i="8" s="1"/>
  <c r="H43" i="8"/>
  <c r="H46" i="8" s="1"/>
  <c r="I43" i="8"/>
  <c r="I46" i="8" s="1"/>
  <c r="J43" i="8"/>
  <c r="J46" i="8" s="1"/>
  <c r="K43" i="8"/>
  <c r="K46" i="8" s="1"/>
  <c r="L43" i="8"/>
  <c r="L46" i="8" s="1"/>
  <c r="M43" i="8"/>
  <c r="M46" i="8" s="1"/>
  <c r="N43" i="8"/>
  <c r="N46" i="8" s="1"/>
  <c r="O43" i="8"/>
  <c r="O46" i="8" s="1"/>
  <c r="P43" i="8"/>
  <c r="P46" i="8" s="1"/>
  <c r="Q43" i="8"/>
  <c r="Q46" i="8" s="1"/>
  <c r="R43" i="8"/>
  <c r="R46" i="8" s="1"/>
  <c r="S43" i="8"/>
  <c r="S46" i="8" s="1"/>
  <c r="E43" i="8"/>
  <c r="E46" i="8" s="1"/>
  <c r="C39" i="8"/>
  <c r="C40" i="8" s="1"/>
  <c r="H37" i="8" s="1"/>
  <c r="S37" i="8" l="1"/>
  <c r="O37" i="8"/>
  <c r="O38" i="8" s="1"/>
  <c r="K37" i="8"/>
  <c r="K38" i="8" s="1"/>
  <c r="G37" i="8"/>
  <c r="G38" i="8" s="1"/>
  <c r="S38" i="8"/>
  <c r="S39" i="8"/>
  <c r="O39" i="8"/>
  <c r="V37" i="8"/>
  <c r="H38" i="8"/>
  <c r="H39" i="8"/>
  <c r="R37" i="8"/>
  <c r="N37" i="8"/>
  <c r="J37" i="8"/>
  <c r="F37" i="8"/>
  <c r="U37" i="8"/>
  <c r="C41" i="8"/>
  <c r="Q37" i="8"/>
  <c r="M37" i="8"/>
  <c r="I37" i="8"/>
  <c r="T37" i="8"/>
  <c r="E37" i="8"/>
  <c r="P37" i="8"/>
  <c r="L37" i="8"/>
  <c r="C45" i="8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2" i="13"/>
  <c r="G39" i="8" l="1"/>
  <c r="K39" i="8"/>
  <c r="P38" i="8"/>
  <c r="P39" i="8"/>
  <c r="F38" i="8"/>
  <c r="F39" i="8"/>
  <c r="E38" i="8"/>
  <c r="E39" i="8"/>
  <c r="J38" i="8"/>
  <c r="J39" i="8"/>
  <c r="U38" i="8"/>
  <c r="U39" i="8"/>
  <c r="T38" i="8"/>
  <c r="T39" i="8"/>
  <c r="N38" i="8"/>
  <c r="N39" i="8"/>
  <c r="I38" i="8"/>
  <c r="I39" i="8"/>
  <c r="R38" i="8"/>
  <c r="R39" i="8"/>
  <c r="L38" i="8"/>
  <c r="L39" i="8"/>
  <c r="M38" i="8"/>
  <c r="M39" i="8"/>
  <c r="Q38" i="8"/>
  <c r="Q39" i="8"/>
  <c r="V38" i="8"/>
  <c r="V39" i="8"/>
  <c r="C42" i="8"/>
  <c r="C43" i="8"/>
  <c r="U32" i="13"/>
  <c r="U33" i="13"/>
  <c r="U34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48" i="13"/>
  <c r="U49" i="13"/>
  <c r="U50" i="13"/>
  <c r="U51" i="13"/>
  <c r="T32" i="13"/>
  <c r="T33" i="13"/>
  <c r="T34" i="13"/>
  <c r="T35" i="13"/>
  <c r="T36" i="13"/>
  <c r="T37" i="13"/>
  <c r="T38" i="13"/>
  <c r="T39" i="13"/>
  <c r="T40" i="13"/>
  <c r="T41" i="13"/>
  <c r="T42" i="13"/>
  <c r="T43" i="13"/>
  <c r="T44" i="13"/>
  <c r="T45" i="13"/>
  <c r="T46" i="13"/>
  <c r="T47" i="13"/>
  <c r="T48" i="13"/>
  <c r="T49" i="13"/>
  <c r="T50" i="13"/>
  <c r="T5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J32" i="13" l="1"/>
  <c r="K32" i="13"/>
  <c r="L32" i="13"/>
  <c r="N32" i="13"/>
  <c r="O32" i="13"/>
  <c r="J33" i="13"/>
  <c r="K33" i="13"/>
  <c r="L33" i="13"/>
  <c r="N33" i="13"/>
  <c r="O33" i="13"/>
  <c r="J34" i="13"/>
  <c r="K34" i="13"/>
  <c r="L34" i="13"/>
  <c r="N34" i="13"/>
  <c r="O34" i="13"/>
  <c r="J35" i="13"/>
  <c r="K35" i="13"/>
  <c r="L35" i="13"/>
  <c r="N35" i="13"/>
  <c r="O35" i="13"/>
  <c r="J36" i="13"/>
  <c r="K36" i="13"/>
  <c r="L36" i="13"/>
  <c r="N36" i="13"/>
  <c r="O36" i="13"/>
  <c r="J37" i="13"/>
  <c r="K37" i="13"/>
  <c r="L37" i="13"/>
  <c r="N37" i="13"/>
  <c r="O37" i="13"/>
  <c r="J38" i="13"/>
  <c r="K38" i="13"/>
  <c r="L38" i="13"/>
  <c r="N38" i="13"/>
  <c r="O38" i="13"/>
  <c r="J39" i="13"/>
  <c r="K39" i="13"/>
  <c r="L39" i="13"/>
  <c r="N39" i="13"/>
  <c r="O39" i="13"/>
  <c r="J40" i="13"/>
  <c r="K40" i="13"/>
  <c r="L40" i="13"/>
  <c r="N40" i="13"/>
  <c r="O40" i="13"/>
  <c r="J41" i="13"/>
  <c r="K41" i="13"/>
  <c r="L41" i="13"/>
  <c r="N41" i="13"/>
  <c r="O41" i="13"/>
  <c r="J42" i="13"/>
  <c r="K42" i="13"/>
  <c r="L42" i="13"/>
  <c r="N42" i="13"/>
  <c r="O42" i="13"/>
  <c r="J43" i="13"/>
  <c r="K43" i="13"/>
  <c r="L43" i="13"/>
  <c r="N43" i="13"/>
  <c r="O43" i="13"/>
  <c r="J44" i="13"/>
  <c r="K44" i="13"/>
  <c r="L44" i="13"/>
  <c r="N44" i="13"/>
  <c r="O44" i="13"/>
  <c r="J45" i="13"/>
  <c r="K45" i="13"/>
  <c r="L45" i="13"/>
  <c r="N45" i="13"/>
  <c r="O45" i="13"/>
  <c r="J46" i="13"/>
  <c r="K46" i="13"/>
  <c r="L46" i="13"/>
  <c r="N46" i="13"/>
  <c r="O46" i="13"/>
  <c r="J47" i="13"/>
  <c r="K47" i="13"/>
  <c r="L47" i="13"/>
  <c r="N47" i="13"/>
  <c r="O47" i="13"/>
  <c r="J48" i="13"/>
  <c r="K48" i="13"/>
  <c r="L48" i="13"/>
  <c r="N48" i="13"/>
  <c r="O48" i="13"/>
  <c r="J49" i="13"/>
  <c r="K49" i="13"/>
  <c r="L49" i="13"/>
  <c r="N49" i="13"/>
  <c r="O49" i="13"/>
  <c r="J50" i="13"/>
  <c r="K50" i="13"/>
  <c r="L50" i="13"/>
  <c r="N50" i="13"/>
  <c r="O50" i="13"/>
  <c r="J51" i="13"/>
  <c r="K51" i="13"/>
  <c r="L51" i="13"/>
  <c r="N51" i="13"/>
  <c r="O51" i="13"/>
  <c r="L3" i="13" l="1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2" i="13"/>
  <c r="J3" i="13" l="1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U3" i="13" l="1"/>
  <c r="U4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2" i="13"/>
  <c r="Q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T3" i="13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T24" i="13"/>
  <c r="T25" i="13"/>
  <c r="T26" i="13"/>
  <c r="T27" i="13"/>
  <c r="T28" i="13"/>
  <c r="T29" i="13"/>
  <c r="T30" i="13"/>
  <c r="T31" i="13"/>
  <c r="S3" i="13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R3" i="13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T2" i="13"/>
  <c r="S2" i="13"/>
  <c r="R2" i="13"/>
  <c r="Q2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2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2" i="13"/>
  <c r="F28" i="9" l="1"/>
  <c r="G28" i="9" s="1"/>
  <c r="H28" i="9" s="1"/>
  <c r="J24" i="9"/>
  <c r="K24" i="9" s="1"/>
  <c r="J15" i="9"/>
  <c r="J16" i="9"/>
  <c r="J17" i="9"/>
  <c r="J18" i="9"/>
  <c r="J19" i="9"/>
  <c r="J20" i="9"/>
  <c r="J21" i="9"/>
  <c r="J22" i="9"/>
  <c r="J23" i="9"/>
  <c r="J14" i="9"/>
  <c r="C8" i="9"/>
  <c r="D8" i="9" s="1"/>
  <c r="E8" i="9" s="1"/>
  <c r="C9" i="9"/>
  <c r="C10" i="9"/>
  <c r="D10" i="9" s="1"/>
  <c r="E10" i="9" s="1"/>
  <c r="C11" i="9"/>
  <c r="D11" i="9" s="1"/>
  <c r="E11" i="9" s="1"/>
  <c r="C12" i="9"/>
  <c r="C13" i="9"/>
  <c r="D13" i="9" s="1"/>
  <c r="E13" i="9" s="1"/>
  <c r="C14" i="9"/>
  <c r="C15" i="9"/>
  <c r="D15" i="9" s="1"/>
  <c r="E15" i="9" s="1"/>
  <c r="C16" i="9"/>
  <c r="C17" i="9"/>
  <c r="D17" i="9" s="1"/>
  <c r="E17" i="9" s="1"/>
  <c r="C18" i="9"/>
  <c r="D18" i="9" s="1"/>
  <c r="E18" i="9" s="1"/>
  <c r="C19" i="9"/>
  <c r="D19" i="9" s="1"/>
  <c r="E19" i="9" s="1"/>
  <c r="D20" i="9"/>
  <c r="E20" i="9" s="1"/>
  <c r="C21" i="9"/>
  <c r="C22" i="9"/>
  <c r="D22" i="9" s="1"/>
  <c r="E22" i="9" s="1"/>
  <c r="C23" i="9"/>
  <c r="D23" i="9" s="1"/>
  <c r="E23" i="9" s="1"/>
  <c r="C7" i="9"/>
  <c r="I23" i="9"/>
  <c r="I22" i="9"/>
  <c r="I21" i="9"/>
  <c r="I17" i="9"/>
  <c r="I14" i="9"/>
  <c r="I13" i="9"/>
  <c r="I10" i="9"/>
  <c r="I9" i="9"/>
  <c r="I18" i="9"/>
  <c r="I20" i="9"/>
  <c r="I19" i="9"/>
  <c r="I16" i="9"/>
  <c r="I15" i="9"/>
  <c r="I12" i="9"/>
  <c r="I11" i="9"/>
  <c r="I8" i="9"/>
  <c r="I7" i="9"/>
  <c r="C18" i="8"/>
  <c r="C19" i="8" s="1"/>
  <c r="C5" i="8"/>
  <c r="K19" i="9" l="1"/>
  <c r="M19" i="9" s="1"/>
  <c r="C6" i="8"/>
  <c r="C7" i="8" s="1"/>
  <c r="F6" i="8"/>
  <c r="F3" i="8" s="1"/>
  <c r="O6" i="8"/>
  <c r="K23" i="9"/>
  <c r="M23" i="9" s="1"/>
  <c r="D7" i="9"/>
  <c r="E7" i="9" s="1"/>
  <c r="B28" i="9"/>
  <c r="J25" i="9"/>
  <c r="K15" i="9"/>
  <c r="M15" i="9" s="1"/>
  <c r="K17" i="9"/>
  <c r="M17" i="9" s="1"/>
  <c r="J6" i="8"/>
  <c r="J3" i="8" s="1"/>
  <c r="J4" i="8" s="1"/>
  <c r="K20" i="9"/>
  <c r="M20" i="9" s="1"/>
  <c r="K22" i="9"/>
  <c r="M22" i="9" s="1"/>
  <c r="K18" i="9"/>
  <c r="M18" i="9" s="1"/>
  <c r="AC6" i="8"/>
  <c r="X6" i="8"/>
  <c r="S6" i="8"/>
  <c r="K6" i="8"/>
  <c r="I6" i="8"/>
  <c r="AB6" i="8"/>
  <c r="AF6" i="8"/>
  <c r="AA6" i="8"/>
  <c r="V6" i="8"/>
  <c r="R6" i="8"/>
  <c r="N6" i="8"/>
  <c r="H6" i="8"/>
  <c r="W6" i="8"/>
  <c r="D21" i="9"/>
  <c r="E21" i="9" s="1"/>
  <c r="K21" i="9" s="1"/>
  <c r="M21" i="9" s="1"/>
  <c r="D9" i="9"/>
  <c r="E6" i="8"/>
  <c r="P6" i="8"/>
  <c r="D16" i="9"/>
  <c r="E16" i="9" s="1"/>
  <c r="K16" i="9" s="1"/>
  <c r="M16" i="9" s="1"/>
  <c r="D12" i="9"/>
  <c r="E12" i="9" s="1"/>
  <c r="AG6" i="8"/>
  <c r="AE6" i="8"/>
  <c r="Z6" i="8"/>
  <c r="U6" i="8"/>
  <c r="Q6" i="8"/>
  <c r="M6" i="8"/>
  <c r="G6" i="8"/>
  <c r="D14" i="9"/>
  <c r="E14" i="9" s="1"/>
  <c r="K14" i="9" s="1"/>
  <c r="AD6" i="8"/>
  <c r="Y6" i="8"/>
  <c r="T6" i="8"/>
  <c r="L6" i="8"/>
  <c r="D32" i="8"/>
  <c r="C20" i="8"/>
  <c r="C24" i="8"/>
  <c r="C11" i="8"/>
  <c r="M14" i="9" l="1"/>
  <c r="M25" i="9" s="1"/>
  <c r="K26" i="9"/>
  <c r="E3" i="8"/>
  <c r="H3" i="8"/>
  <c r="H4" i="8" s="1"/>
  <c r="I3" i="8"/>
  <c r="I4" i="8" s="1"/>
  <c r="T3" i="8"/>
  <c r="T4" i="8" s="1"/>
  <c r="U3" i="8"/>
  <c r="U4" i="8" s="1"/>
  <c r="Y3" i="8"/>
  <c r="Y4" i="8" s="1"/>
  <c r="AA3" i="8"/>
  <c r="AA4" i="8" s="1"/>
  <c r="L3" i="8"/>
  <c r="L4" i="8" s="1"/>
  <c r="AC3" i="8"/>
  <c r="AC4" i="8" s="1"/>
  <c r="D24" i="9"/>
  <c r="D25" i="9" s="1"/>
  <c r="M3" i="8"/>
  <c r="M4" i="8" s="1"/>
  <c r="AE3" i="8"/>
  <c r="AE4" i="8" s="1"/>
  <c r="AG3" i="8"/>
  <c r="AG4" i="8" s="1"/>
  <c r="R3" i="8"/>
  <c r="R4" i="8" s="1"/>
  <c r="S3" i="8"/>
  <c r="S4" i="8" s="1"/>
  <c r="N25" i="9"/>
  <c r="O25" i="9" s="1"/>
  <c r="Q3" i="8"/>
  <c r="Q4" i="8" s="1"/>
  <c r="P3" i="8"/>
  <c r="P4" i="8" s="1"/>
  <c r="W3" i="8"/>
  <c r="W4" i="8" s="1"/>
  <c r="V3" i="8"/>
  <c r="V4" i="8" s="1"/>
  <c r="AB3" i="8"/>
  <c r="AB4" i="8" s="1"/>
  <c r="X3" i="8"/>
  <c r="X4" i="8" s="1"/>
  <c r="E9" i="9"/>
  <c r="AD3" i="8"/>
  <c r="AD4" i="8" s="1"/>
  <c r="G3" i="8"/>
  <c r="G4" i="8" s="1"/>
  <c r="Z3" i="8"/>
  <c r="Z4" i="8" s="1"/>
  <c r="O3" i="8"/>
  <c r="O4" i="8" s="1"/>
  <c r="N3" i="8"/>
  <c r="N4" i="8" s="1"/>
  <c r="AF3" i="8"/>
  <c r="AF4" i="8" s="1"/>
  <c r="K3" i="8"/>
  <c r="K4" i="8" s="1"/>
  <c r="C21" i="8"/>
  <c r="C25" i="8"/>
  <c r="C22" i="8"/>
  <c r="C9" i="8"/>
  <c r="C8" i="8"/>
  <c r="E5" i="8" l="1"/>
  <c r="I16" i="8"/>
  <c r="E4" i="8"/>
  <c r="F4" i="8"/>
  <c r="F5" i="8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5" i="7"/>
  <c r="U4" i="7"/>
  <c r="U3" i="7"/>
  <c r="U2" i="7"/>
  <c r="T13" i="8" l="1"/>
  <c r="J13" i="8"/>
  <c r="S13" i="8"/>
  <c r="R13" i="8"/>
  <c r="Q13" i="8"/>
  <c r="U30" i="7"/>
  <c r="V7" i="7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2" i="5"/>
  <c r="G36" i="5"/>
  <c r="V8" i="7" l="1"/>
  <c r="V21" i="7"/>
  <c r="V25" i="7"/>
  <c r="V29" i="7"/>
  <c r="V22" i="7"/>
  <c r="V26" i="7"/>
  <c r="V19" i="7"/>
  <c r="V23" i="7"/>
  <c r="V27" i="7"/>
  <c r="V20" i="7"/>
  <c r="V24" i="7"/>
  <c r="V28" i="7"/>
  <c r="V9" i="7"/>
  <c r="V10" i="7"/>
  <c r="V4" i="7"/>
  <c r="V3" i="7"/>
  <c r="V2" i="7"/>
  <c r="V5" i="7"/>
  <c r="V16" i="7"/>
  <c r="V15" i="7"/>
  <c r="V18" i="7"/>
  <c r="V17" i="7"/>
  <c r="V6" i="7"/>
  <c r="V12" i="7"/>
  <c r="V11" i="7"/>
  <c r="V14" i="7"/>
  <c r="V13" i="7"/>
  <c r="F14" i="5"/>
  <c r="H14" i="5" s="1"/>
  <c r="G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F3" i="5" l="1"/>
  <c r="F21" i="5"/>
  <c r="H21" i="5" s="1"/>
  <c r="F5" i="5"/>
  <c r="H5" i="5" s="1"/>
  <c r="F20" i="5"/>
  <c r="H20" i="5" s="1"/>
  <c r="H4" i="5"/>
  <c r="F23" i="5"/>
  <c r="H23" i="5" s="1"/>
  <c r="F7" i="5"/>
  <c r="H7" i="5" s="1"/>
  <c r="F26" i="5"/>
  <c r="H26" i="5" s="1"/>
  <c r="F10" i="5"/>
  <c r="H10" i="5" s="1"/>
  <c r="F33" i="5"/>
  <c r="H33" i="5" s="1"/>
  <c r="F17" i="5"/>
  <c r="H17" i="5" s="1"/>
  <c r="F32" i="5"/>
  <c r="H32" i="5" s="1"/>
  <c r="F16" i="5"/>
  <c r="H16" i="5" s="1"/>
  <c r="F35" i="5"/>
  <c r="H35" i="5" s="1"/>
  <c r="F19" i="5"/>
  <c r="H19" i="5" s="1"/>
  <c r="H3" i="5"/>
  <c r="F22" i="5"/>
  <c r="H22" i="5" s="1"/>
  <c r="F6" i="5"/>
  <c r="H6" i="5" s="1"/>
  <c r="F29" i="5"/>
  <c r="H29" i="5" s="1"/>
  <c r="F13" i="5"/>
  <c r="H13" i="5" s="1"/>
  <c r="F28" i="5"/>
  <c r="H28" i="5" s="1"/>
  <c r="F12" i="5"/>
  <c r="H12" i="5" s="1"/>
  <c r="F31" i="5"/>
  <c r="H31" i="5" s="1"/>
  <c r="F15" i="5"/>
  <c r="H15" i="5" s="1"/>
  <c r="B45" i="5" s="1"/>
  <c r="F34" i="5"/>
  <c r="H34" i="5" s="1"/>
  <c r="F18" i="5"/>
  <c r="H18" i="5" s="1"/>
  <c r="F25" i="5"/>
  <c r="H25" i="5" s="1"/>
  <c r="F9" i="5"/>
  <c r="H9" i="5" s="1"/>
  <c r="F24" i="5"/>
  <c r="H24" i="5" s="1"/>
  <c r="F8" i="5"/>
  <c r="H8" i="5" s="1"/>
  <c r="F27" i="5"/>
  <c r="H27" i="5" s="1"/>
  <c r="F11" i="5"/>
  <c r="H11" i="5" s="1"/>
  <c r="F30" i="5"/>
  <c r="H30" i="5" s="1"/>
  <c r="E36" i="3"/>
  <c r="F14" i="3" s="1"/>
  <c r="H14" i="3" s="1"/>
  <c r="B40" i="5" l="1"/>
  <c r="B47" i="5"/>
  <c r="B41" i="5"/>
  <c r="B51" i="5"/>
  <c r="B52" i="5"/>
  <c r="B49" i="5"/>
  <c r="B50" i="5"/>
  <c r="B48" i="5"/>
  <c r="B46" i="5"/>
  <c r="B44" i="5"/>
  <c r="B42" i="5"/>
  <c r="B43" i="5"/>
  <c r="H36" i="5"/>
  <c r="I14" i="5" s="1"/>
  <c r="F28" i="3"/>
  <c r="H28" i="3" s="1"/>
  <c r="F34" i="3"/>
  <c r="H34" i="3" s="1"/>
  <c r="F33" i="3"/>
  <c r="H33" i="3" s="1"/>
  <c r="F31" i="3"/>
  <c r="H31" i="3" s="1"/>
  <c r="F26" i="3"/>
  <c r="H26" i="3" s="1"/>
  <c r="F25" i="3"/>
  <c r="H25" i="3" s="1"/>
  <c r="F24" i="3"/>
  <c r="H24" i="3" s="1"/>
  <c r="F12" i="3"/>
  <c r="H12" i="3" s="1"/>
  <c r="F18" i="3"/>
  <c r="H18" i="3" s="1"/>
  <c r="F23" i="3"/>
  <c r="H23" i="3" s="1"/>
  <c r="F22" i="3"/>
  <c r="H22" i="3" s="1"/>
  <c r="F21" i="3"/>
  <c r="H21" i="3" s="1"/>
  <c r="F20" i="3"/>
  <c r="H20" i="3" s="1"/>
  <c r="F8" i="3"/>
  <c r="H8" i="3" s="1"/>
  <c r="F9" i="3"/>
  <c r="H9" i="3" s="1"/>
  <c r="F3" i="3"/>
  <c r="H3" i="3" s="1"/>
  <c r="F13" i="3"/>
  <c r="H13" i="3" s="1"/>
  <c r="F5" i="3"/>
  <c r="H5" i="3" s="1"/>
  <c r="F19" i="3"/>
  <c r="H19" i="3" s="1"/>
  <c r="F17" i="3"/>
  <c r="H17" i="3" s="1"/>
  <c r="F15" i="3"/>
  <c r="H15" i="3" s="1"/>
  <c r="F11" i="3"/>
  <c r="H11" i="3" s="1"/>
  <c r="F7" i="3"/>
  <c r="H7" i="3" s="1"/>
  <c r="F27" i="3"/>
  <c r="H27" i="3" s="1"/>
  <c r="F4" i="3"/>
  <c r="H4" i="3" s="1"/>
  <c r="F10" i="3"/>
  <c r="H10" i="3" s="1"/>
  <c r="F35" i="3"/>
  <c r="H35" i="3" s="1"/>
  <c r="F30" i="3"/>
  <c r="H30" i="3" s="1"/>
  <c r="F29" i="3"/>
  <c r="H29" i="3" s="1"/>
  <c r="F32" i="3"/>
  <c r="H32" i="3" s="1"/>
  <c r="F16" i="3"/>
  <c r="H16" i="3" s="1"/>
  <c r="F2" i="3"/>
  <c r="H2" i="3" s="1"/>
  <c r="F6" i="3"/>
  <c r="H6" i="3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  <c r="B56" i="5" l="1"/>
  <c r="I27" i="5"/>
  <c r="I4" i="5"/>
  <c r="I6" i="5"/>
  <c r="I21" i="5"/>
  <c r="I2" i="5"/>
  <c r="I20" i="5"/>
  <c r="I28" i="5"/>
  <c r="I24" i="5"/>
  <c r="I13" i="5"/>
  <c r="I11" i="5"/>
  <c r="I19" i="5"/>
  <c r="I30" i="5"/>
  <c r="I3" i="5"/>
  <c r="I22" i="5"/>
  <c r="I35" i="5"/>
  <c r="I17" i="5"/>
  <c r="I26" i="5"/>
  <c r="I15" i="5"/>
  <c r="I10" i="5"/>
  <c r="I34" i="5"/>
  <c r="I23" i="5"/>
  <c r="I12" i="5"/>
  <c r="I5" i="5"/>
  <c r="I29" i="5"/>
  <c r="I8" i="5"/>
  <c r="I32" i="5"/>
  <c r="I25" i="5"/>
  <c r="I16" i="5"/>
  <c r="I9" i="5"/>
  <c r="I33" i="5"/>
  <c r="I18" i="5"/>
  <c r="I7" i="5"/>
  <c r="I31" i="5"/>
  <c r="H36" i="3"/>
  <c r="I22" i="3" s="1"/>
  <c r="I11" i="3" l="1"/>
  <c r="C53" i="5"/>
  <c r="C54" i="5"/>
  <c r="C55" i="5"/>
  <c r="C39" i="5"/>
  <c r="C45" i="5"/>
  <c r="I23" i="3"/>
  <c r="C49" i="5"/>
  <c r="C42" i="5"/>
  <c r="C52" i="5"/>
  <c r="C47" i="5"/>
  <c r="C50" i="5"/>
  <c r="C43" i="5"/>
  <c r="C44" i="5"/>
  <c r="C51" i="5"/>
  <c r="C46" i="5"/>
  <c r="C41" i="5"/>
  <c r="C48" i="5"/>
  <c r="C40" i="5"/>
  <c r="I27" i="3"/>
  <c r="I7" i="3"/>
  <c r="I26" i="3"/>
  <c r="I28" i="3"/>
  <c r="I33" i="3"/>
  <c r="I14" i="3"/>
  <c r="I34" i="3"/>
  <c r="I13" i="3"/>
  <c r="I21" i="3"/>
  <c r="I18" i="3"/>
  <c r="I10" i="3"/>
  <c r="I8" i="3"/>
  <c r="I35" i="3"/>
  <c r="I3" i="3"/>
  <c r="I2" i="3"/>
  <c r="I15" i="3"/>
  <c r="I4" i="3"/>
  <c r="I20" i="3"/>
  <c r="I32" i="3"/>
  <c r="I9" i="3"/>
  <c r="I16" i="3"/>
  <c r="I17" i="3"/>
  <c r="I31" i="3"/>
  <c r="I29" i="3"/>
  <c r="I6" i="3"/>
  <c r="I5" i="3"/>
  <c r="I25" i="3"/>
  <c r="I19" i="3"/>
  <c r="I24" i="3"/>
  <c r="I30" i="3"/>
  <c r="I12" i="3"/>
</calcChain>
</file>

<file path=xl/sharedStrings.xml><?xml version="1.0" encoding="utf-8"?>
<sst xmlns="http://schemas.openxmlformats.org/spreadsheetml/2006/main" count="182" uniqueCount="98">
  <si>
    <t>Sum</t>
  </si>
  <si>
    <t>Rel Selectivity</t>
  </si>
  <si>
    <t># of fish obs</t>
  </si>
  <si>
    <t>Adjusted Count</t>
  </si>
  <si>
    <t xml:space="preserve">Proportion </t>
  </si>
  <si>
    <t>MAX SUM</t>
  </si>
  <si>
    <t>6"</t>
  </si>
  <si>
    <t>7"</t>
  </si>
  <si>
    <t>8"</t>
  </si>
  <si>
    <t>SUM</t>
  </si>
  <si>
    <t>Age</t>
  </si>
  <si>
    <t>Parameter</t>
  </si>
  <si>
    <t>Equation</t>
  </si>
  <si>
    <t>Estimate</t>
  </si>
  <si>
    <t>SE</t>
  </si>
  <si>
    <t>Z</t>
  </si>
  <si>
    <t>F + M</t>
  </si>
  <si>
    <t xml:space="preserve">S </t>
  </si>
  <si>
    <t>A</t>
  </si>
  <si>
    <t>F</t>
  </si>
  <si>
    <t>µZ/A</t>
  </si>
  <si>
    <t>M</t>
  </si>
  <si>
    <t>Z-F</t>
  </si>
  <si>
    <t>v</t>
  </si>
  <si>
    <t>MA/Z</t>
  </si>
  <si>
    <t>cm</t>
  </si>
  <si>
    <t>µ</t>
  </si>
  <si>
    <t>FA/Z</t>
  </si>
  <si>
    <t>cf</t>
  </si>
  <si>
    <r>
      <rPr>
        <i/>
        <sz val="12"/>
        <color theme="1"/>
        <rFont val="Times New Roman"/>
        <family val="1"/>
      </rPr>
      <t>e</t>
    </r>
    <r>
      <rPr>
        <vertAlign val="superscript"/>
        <sz val="12"/>
        <color theme="1"/>
        <rFont val="Times New Roman"/>
        <family val="1"/>
      </rPr>
      <t>-Z</t>
    </r>
  </si>
  <si>
    <r>
      <t>1-</t>
    </r>
    <r>
      <rPr>
        <i/>
        <sz val="12"/>
        <color theme="1"/>
        <rFont val="Times New Roman"/>
        <family val="1"/>
      </rPr>
      <t>e</t>
    </r>
    <r>
      <rPr>
        <vertAlign val="superscript"/>
        <sz val="12"/>
        <color theme="1"/>
        <rFont val="Times New Roman"/>
        <family val="1"/>
      </rPr>
      <t>-Z</t>
    </r>
  </si>
  <si>
    <r>
      <t>1-</t>
    </r>
    <r>
      <rPr>
        <i/>
        <sz val="12"/>
        <color theme="1"/>
        <rFont val="Times New Roman"/>
        <family val="1"/>
      </rPr>
      <t>e</t>
    </r>
    <r>
      <rPr>
        <i/>
        <vertAlign val="superscript"/>
        <sz val="12"/>
        <color theme="1"/>
        <rFont val="Times New Roman"/>
        <family val="1"/>
      </rPr>
      <t>-M</t>
    </r>
  </si>
  <si>
    <r>
      <t>1-</t>
    </r>
    <r>
      <rPr>
        <i/>
        <sz val="12"/>
        <color theme="1"/>
        <rFont val="Times New Roman"/>
        <family val="1"/>
      </rPr>
      <t>e</t>
    </r>
    <r>
      <rPr>
        <vertAlign val="superscript"/>
        <sz val="12"/>
        <color theme="1"/>
        <rFont val="Times New Roman"/>
        <family val="1"/>
      </rPr>
      <t>-</t>
    </r>
    <r>
      <rPr>
        <i/>
        <vertAlign val="superscript"/>
        <sz val="12"/>
        <color theme="1"/>
        <rFont val="Times New Roman"/>
        <family val="1"/>
      </rPr>
      <t>F</t>
    </r>
  </si>
  <si>
    <r>
      <t>S</t>
    </r>
    <r>
      <rPr>
        <i/>
        <vertAlign val="subscript"/>
        <sz val="12"/>
        <color theme="1"/>
        <rFont val="Times New Roman"/>
        <family val="1"/>
      </rPr>
      <t>0</t>
    </r>
  </si>
  <si>
    <r>
      <rPr>
        <i/>
        <sz val="12"/>
        <color theme="1"/>
        <rFont val="Times New Roman"/>
        <family val="1"/>
      </rPr>
      <t>e</t>
    </r>
    <r>
      <rPr>
        <vertAlign val="superscript"/>
        <sz val="12"/>
        <color theme="1"/>
        <rFont val="Times New Roman"/>
        <family val="1"/>
      </rPr>
      <t>-</t>
    </r>
    <r>
      <rPr>
        <i/>
        <vertAlign val="superscript"/>
        <sz val="12"/>
        <color theme="1"/>
        <rFont val="Times New Roman"/>
        <family val="1"/>
      </rPr>
      <t>M</t>
    </r>
  </si>
  <si>
    <t>Observed conditions w/selectivity correction</t>
  </si>
  <si>
    <t xml:space="preserve">Observed conditions w/o selectivity </t>
  </si>
  <si>
    <t>Method</t>
  </si>
  <si>
    <t>PaulyL</t>
  </si>
  <si>
    <t>HoenigOF</t>
  </si>
  <si>
    <t>tmax1</t>
  </si>
  <si>
    <t>PaulyLNot</t>
  </si>
  <si>
    <t>Changing values of µ</t>
  </si>
  <si>
    <t>AVERAGE</t>
  </si>
  <si>
    <t>Initial population size: 48, 000 (100-200 cm FL)</t>
  </si>
  <si>
    <t>Using truncated data from CDFW 2014-2016 (excludes ages 20 and older due to low sample numbers (n =2))</t>
  </si>
  <si>
    <t>n</t>
  </si>
  <si>
    <t>proportion</t>
  </si>
  <si>
    <t>estimated abundance</t>
  </si>
  <si>
    <t># of females</t>
  </si>
  <si>
    <t>mean FL</t>
  </si>
  <si>
    <t>sd</t>
  </si>
  <si>
    <t xml:space="preserve">se </t>
  </si>
  <si>
    <t>19+</t>
  </si>
  <si>
    <t># of eggs per age class</t>
  </si>
  <si>
    <t># of eggs per female</t>
  </si>
  <si>
    <t xml:space="preserve">Prob of mature females spawning </t>
  </si>
  <si>
    <t># of potential eggs/yr</t>
  </si>
  <si>
    <t>Adjusted Count (length)</t>
  </si>
  <si>
    <t>Mean</t>
  </si>
  <si>
    <t>Year</t>
  </si>
  <si>
    <t>LB</t>
  </si>
  <si>
    <t xml:space="preserve">UB </t>
  </si>
  <si>
    <t xml:space="preserve">System </t>
  </si>
  <si>
    <t>Linf</t>
  </si>
  <si>
    <t>K</t>
  </si>
  <si>
    <t>to</t>
  </si>
  <si>
    <t xml:space="preserve">reference </t>
  </si>
  <si>
    <t>Lower Columbia-unimpounded</t>
  </si>
  <si>
    <t>Lower Columbia-The Dalles</t>
  </si>
  <si>
    <t>Middle Columbia-Priest Rapids</t>
  </si>
  <si>
    <t>Upper Columbia-Lake Roosevelt</t>
  </si>
  <si>
    <t>Lower Fraser</t>
  </si>
  <si>
    <t>Upper Fraser</t>
  </si>
  <si>
    <t>Nechako</t>
  </si>
  <si>
    <t>Kootenai</t>
  </si>
  <si>
    <t>Beamesderfer et al. 2009</t>
  </si>
  <si>
    <t>RL&amp;L 2000</t>
  </si>
  <si>
    <t>DeVore et al. 1995</t>
  </si>
  <si>
    <t>Beamederfer et al. 1995</t>
  </si>
  <si>
    <t>DeVore et al. 2000</t>
  </si>
  <si>
    <t xml:space="preserve">Snake River </t>
  </si>
  <si>
    <t xml:space="preserve">this study </t>
  </si>
  <si>
    <t>MBCLA</t>
  </si>
  <si>
    <t>BCLA</t>
  </si>
  <si>
    <t>LAC</t>
  </si>
  <si>
    <t xml:space="preserve">LAC </t>
  </si>
  <si>
    <t>Kohlhorst et al 1980</t>
  </si>
  <si>
    <t>Historic SSJ</t>
  </si>
  <si>
    <t>Changing values of M</t>
  </si>
  <si>
    <t>Avg</t>
  </si>
  <si>
    <t>Dif</t>
  </si>
  <si>
    <t>BCLA (SSJ)</t>
  </si>
  <si>
    <t>MBLCA (SSJ)</t>
  </si>
  <si>
    <t>Length at Capture (SSJ)</t>
  </si>
  <si>
    <t xml:space="preserve">non-calculated </t>
  </si>
  <si>
    <t>Abund</t>
  </si>
  <si>
    <t>FracFem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</si>
</sst>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color rgb="FF000000"/>
      <name val="Times New Roman"/>
      <family val="1"/>
    </font>
    <font>
      <i/>
      <vertAlign val="superscript"/>
      <sz val="12"/>
      <color theme="1"/>
      <name val="Times New Roman"/>
      <family val="1"/>
    </font>
    <font>
      <i/>
      <vertAlign val="sub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9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1">
    <xf numFmtId="0" fontId="0" fillId="0" borderId="0" xfId="0"/>
    <xf numFmtId="1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8" fillId="0" borderId="0" xfId="0" applyFont="1"/>
    <xf numFmtId="0" fontId="18" fillId="0" borderId="1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8" fillId="0" borderId="0" xfId="0" applyFont="1" applyFill="1"/>
    <xf numFmtId="0" fontId="19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0" fillId="0" borderId="0" xfId="0" applyBorder="1"/>
    <xf numFmtId="0" fontId="18" fillId="0" borderId="0" xfId="0" applyFont="1" applyBorder="1"/>
    <xf numFmtId="2" fontId="18" fillId="0" borderId="0" xfId="0" applyNumberFormat="1" applyFont="1" applyBorder="1"/>
    <xf numFmtId="0" fontId="24" fillId="0" borderId="0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"/>
    </xf>
    <xf numFmtId="0" fontId="18" fillId="0" borderId="11" xfId="0" applyFont="1" applyBorder="1"/>
    <xf numFmtId="164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16" fillId="0" borderId="0" xfId="0" applyFont="1"/>
    <xf numFmtId="0" fontId="18" fillId="0" borderId="0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right"/>
    </xf>
    <xf numFmtId="0" fontId="0" fillId="33" borderId="0" xfId="0" applyFill="1"/>
    <xf numFmtId="165" fontId="0" fillId="33" borderId="0" xfId="0" applyNumberFormat="1" applyFill="1" applyBorder="1" applyAlignment="1">
      <alignment horizontal="right"/>
    </xf>
    <xf numFmtId="0" fontId="0" fillId="33" borderId="0" xfId="0" applyFill="1" applyBorder="1" applyAlignment="1">
      <alignment horizontal="center"/>
    </xf>
    <xf numFmtId="165" fontId="0" fillId="33" borderId="0" xfId="0" applyNumberFormat="1" applyFill="1" applyAlignment="1">
      <alignment horizontal="right"/>
    </xf>
    <xf numFmtId="164" fontId="18" fillId="0" borderId="0" xfId="0" applyNumberFormat="1" applyFont="1" applyAlignment="1">
      <alignment horizontal="right"/>
    </xf>
    <xf numFmtId="164" fontId="18" fillId="0" borderId="0" xfId="0" applyNumberFormat="1" applyFont="1" applyFill="1" applyAlignment="1">
      <alignment horizontal="right"/>
    </xf>
    <xf numFmtId="164" fontId="21" fillId="0" borderId="0" xfId="0" applyNumberFormat="1" applyFont="1" applyAlignment="1">
      <alignment horizontal="right" vertical="center"/>
    </xf>
    <xf numFmtId="164" fontId="18" fillId="0" borderId="0" xfId="0" applyNumberFormat="1" applyFont="1" applyFill="1" applyBorder="1" applyAlignment="1">
      <alignment horizontal="right"/>
    </xf>
    <xf numFmtId="164" fontId="18" fillId="0" borderId="11" xfId="0" applyNumberFormat="1" applyFont="1" applyBorder="1" applyAlignment="1">
      <alignment horizontal="right"/>
    </xf>
    <xf numFmtId="164" fontId="18" fillId="0" borderId="0" xfId="0" applyNumberFormat="1" applyFont="1" applyBorder="1" applyAlignment="1">
      <alignment horizontal="right"/>
    </xf>
    <xf numFmtId="0" fontId="21" fillId="0" borderId="0" xfId="0" applyFont="1" applyBorder="1" applyAlignment="1">
      <alignment vertical="center"/>
    </xf>
    <xf numFmtId="164" fontId="21" fillId="0" borderId="0" xfId="0" applyNumberFormat="1" applyFont="1" applyAlignment="1">
      <alignment vertical="center"/>
    </xf>
    <xf numFmtId="164" fontId="18" fillId="0" borderId="0" xfId="0" applyNumberFormat="1" applyFont="1" applyBorder="1"/>
    <xf numFmtId="166" fontId="0" fillId="0" borderId="0" xfId="0" applyNumberFormat="1"/>
    <xf numFmtId="3" fontId="0" fillId="0" borderId="0" xfId="0" applyNumberFormat="1"/>
    <xf numFmtId="4" fontId="16" fillId="0" borderId="0" xfId="0" applyNumberFormat="1" applyFont="1"/>
    <xf numFmtId="0" fontId="18" fillId="34" borderId="0" xfId="0" applyFont="1" applyFill="1" applyBorder="1"/>
    <xf numFmtId="164" fontId="18" fillId="35" borderId="0" xfId="0" applyNumberFormat="1" applyFont="1" applyFill="1" applyAlignment="1">
      <alignment horizontal="right"/>
    </xf>
    <xf numFmtId="164" fontId="18" fillId="35" borderId="0" xfId="0" applyNumberFormat="1" applyFont="1" applyFill="1" applyBorder="1" applyAlignment="1">
      <alignment horizontal="right"/>
    </xf>
    <xf numFmtId="4" fontId="0" fillId="0" borderId="0" xfId="0" applyNumberFormat="1"/>
    <xf numFmtId="164" fontId="25" fillId="0" borderId="0" xfId="0" applyNumberFormat="1" applyFont="1" applyAlignment="1">
      <alignment vertical="center"/>
    </xf>
    <xf numFmtId="18" fontId="0" fillId="0" borderId="0" xfId="0" applyNumberFormat="1"/>
    <xf numFmtId="0" fontId="18" fillId="0" borderId="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FL!$E$2:$E$35</c:f>
              <c:numCache>
                <c:formatCode>General</c:formatCode>
                <c:ptCount val="34"/>
                <c:pt idx="0">
                  <c:v>1</c:v>
                </c:pt>
                <c:pt idx="1">
                  <c:v>9</c:v>
                </c:pt>
                <c:pt idx="2">
                  <c:v>27</c:v>
                </c:pt>
                <c:pt idx="3">
                  <c:v>44</c:v>
                </c:pt>
                <c:pt idx="4">
                  <c:v>62</c:v>
                </c:pt>
                <c:pt idx="5">
                  <c:v>102</c:v>
                </c:pt>
                <c:pt idx="6">
                  <c:v>134</c:v>
                </c:pt>
                <c:pt idx="7">
                  <c:v>110</c:v>
                </c:pt>
                <c:pt idx="8">
                  <c:v>81</c:v>
                </c:pt>
                <c:pt idx="9">
                  <c:v>60</c:v>
                </c:pt>
                <c:pt idx="10">
                  <c:v>61</c:v>
                </c:pt>
                <c:pt idx="11">
                  <c:v>51</c:v>
                </c:pt>
                <c:pt idx="12">
                  <c:v>38</c:v>
                </c:pt>
                <c:pt idx="13">
                  <c:v>22</c:v>
                </c:pt>
                <c:pt idx="14">
                  <c:v>25</c:v>
                </c:pt>
                <c:pt idx="15">
                  <c:v>19</c:v>
                </c:pt>
                <c:pt idx="16">
                  <c:v>21</c:v>
                </c:pt>
                <c:pt idx="17">
                  <c:v>16</c:v>
                </c:pt>
                <c:pt idx="18">
                  <c:v>22</c:v>
                </c:pt>
                <c:pt idx="19">
                  <c:v>21</c:v>
                </c:pt>
                <c:pt idx="20">
                  <c:v>13</c:v>
                </c:pt>
                <c:pt idx="21">
                  <c:v>8</c:v>
                </c:pt>
                <c:pt idx="22">
                  <c:v>7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5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2-450B-B3D9-B617F2667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4390448"/>
        <c:axId val="894394056"/>
      </c:barChart>
      <c:catAx>
        <c:axId val="894390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394056"/>
        <c:crosses val="autoZero"/>
        <c:auto val="1"/>
        <c:lblAlgn val="ctr"/>
        <c:lblOffset val="100"/>
        <c:noMultiLvlLbl val="0"/>
      </c:catAx>
      <c:valAx>
        <c:axId val="89439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39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'Abundance (2)'!$B$7:$B$23</c:f>
              <c:numCache>
                <c:formatCode>0</c:formatCode>
                <c:ptCount val="17"/>
                <c:pt idx="0">
                  <c:v>45.234346475995807</c:v>
                </c:pt>
                <c:pt idx="1">
                  <c:v>52.94524468309092</c:v>
                </c:pt>
                <c:pt idx="2">
                  <c:v>127.90839729601674</c:v>
                </c:pt>
                <c:pt idx="3">
                  <c:v>121.55487579752611</c:v>
                </c:pt>
                <c:pt idx="4">
                  <c:v>164.18785022379444</c:v>
                </c:pt>
                <c:pt idx="5">
                  <c:v>181.24054634709572</c:v>
                </c:pt>
                <c:pt idx="6">
                  <c:v>136.04174810406118</c:v>
                </c:pt>
                <c:pt idx="7">
                  <c:v>71.529747551702897</c:v>
                </c:pt>
                <c:pt idx="8">
                  <c:v>52.498104806079297</c:v>
                </c:pt>
                <c:pt idx="9">
                  <c:v>33.518025963344684</c:v>
                </c:pt>
                <c:pt idx="10">
                  <c:v>91.783536741072595</c:v>
                </c:pt>
                <c:pt idx="11">
                  <c:v>55.495248871636292</c:v>
                </c:pt>
                <c:pt idx="12">
                  <c:v>105.01870244329911</c:v>
                </c:pt>
                <c:pt idx="13">
                  <c:v>7.0404626513018407</c:v>
                </c:pt>
                <c:pt idx="14">
                  <c:v>90.933596907243498</c:v>
                </c:pt>
                <c:pt idx="15">
                  <c:v>20.663580577390778</c:v>
                </c:pt>
                <c:pt idx="16">
                  <c:v>65.641304874862698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2-4207-95CD-C724B03F2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2129032"/>
        <c:axId val="902129360"/>
      </c:barChart>
      <c:catAx>
        <c:axId val="90212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129360"/>
        <c:crosses val="autoZero"/>
        <c:auto val="1"/>
        <c:lblAlgn val="ctr"/>
        <c:lblOffset val="100"/>
        <c:noMultiLvlLbl val="0"/>
      </c:catAx>
      <c:valAx>
        <c:axId val="90212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12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norm.loc!$B$1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norm.loc!$A$2:$A$36</c:f>
              <c:strCache>
                <c:ptCount val="35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MAX SUM</c:v>
                </c:pt>
              </c:strCache>
            </c:strRef>
          </c:cat>
          <c:val>
            <c:numRef>
              <c:f>norm.loc!$B$2:$B$36</c:f>
              <c:numCache>
                <c:formatCode>General</c:formatCode>
                <c:ptCount val="35"/>
                <c:pt idx="0">
                  <c:v>0.32291380200000003</c:v>
                </c:pt>
                <c:pt idx="1">
                  <c:v>0.40315704699999999</c:v>
                </c:pt>
                <c:pt idx="2">
                  <c:v>0.49129009600000001</c:v>
                </c:pt>
                <c:pt idx="3">
                  <c:v>0.58435648900000003</c:v>
                </c:pt>
                <c:pt idx="4">
                  <c:v>0.67841249699999995</c:v>
                </c:pt>
                <c:pt idx="5">
                  <c:v>0.76875139199999998</c:v>
                </c:pt>
                <c:pt idx="6">
                  <c:v>0.85026460000000004</c:v>
                </c:pt>
                <c:pt idx="7">
                  <c:v>0.91790637900000005</c:v>
                </c:pt>
                <c:pt idx="8">
                  <c:v>0.96720556199999996</c:v>
                </c:pt>
                <c:pt idx="9">
                  <c:v>0.99475307300000004</c:v>
                </c:pt>
                <c:pt idx="10">
                  <c:v>0.99859158299999995</c:v>
                </c:pt>
                <c:pt idx="11">
                  <c:v>0.97844545400000005</c:v>
                </c:pt>
                <c:pt idx="12">
                  <c:v>0.935753469</c:v>
                </c:pt>
                <c:pt idx="13">
                  <c:v>0.87349893300000003</c:v>
                </c:pt>
                <c:pt idx="14">
                  <c:v>0.79586502400000003</c:v>
                </c:pt>
                <c:pt idx="15">
                  <c:v>0.70777067800000004</c:v>
                </c:pt>
                <c:pt idx="16">
                  <c:v>0.61435842799999996</c:v>
                </c:pt>
                <c:pt idx="17">
                  <c:v>0.52050772899999997</c:v>
                </c:pt>
                <c:pt idx="18">
                  <c:v>0.43043606400000001</c:v>
                </c:pt>
                <c:pt idx="19">
                  <c:v>0.347429129</c:v>
                </c:pt>
                <c:pt idx="20">
                  <c:v>0.27371582700000002</c:v>
                </c:pt>
                <c:pt idx="21">
                  <c:v>0.21047945000000001</c:v>
                </c:pt>
                <c:pt idx="22">
                  <c:v>0.15797763100000001</c:v>
                </c:pt>
                <c:pt idx="23">
                  <c:v>0.115733104</c:v>
                </c:pt>
                <c:pt idx="24">
                  <c:v>8.2755280000000001E-2</c:v>
                </c:pt>
                <c:pt idx="25">
                  <c:v>5.7757705999999999E-2</c:v>
                </c:pt>
                <c:pt idx="26">
                  <c:v>3.9345970000000001E-2</c:v>
                </c:pt>
                <c:pt idx="27">
                  <c:v>2.6161744000000001E-2</c:v>
                </c:pt>
                <c:pt idx="28">
                  <c:v>1.6978888000000001E-2</c:v>
                </c:pt>
                <c:pt idx="29">
                  <c:v>1.0755433E-2</c:v>
                </c:pt>
                <c:pt idx="30">
                  <c:v>6.6500149999999996E-3</c:v>
                </c:pt>
                <c:pt idx="31">
                  <c:v>4.0132249999999996E-3</c:v>
                </c:pt>
                <c:pt idx="32">
                  <c:v>2.3639619999999998E-3</c:v>
                </c:pt>
                <c:pt idx="33">
                  <c:v>1.359138E-3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13-4806-8D01-72AA7F47D9FF}"/>
            </c:ext>
          </c:extLst>
        </c:ser>
        <c:ser>
          <c:idx val="1"/>
          <c:order val="1"/>
          <c:tx>
            <c:strRef>
              <c:f>norm.loc!$C$1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norm.loc!$A$2:$A$36</c:f>
              <c:strCache>
                <c:ptCount val="35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MAX SUM</c:v>
                </c:pt>
              </c:strCache>
            </c:strRef>
          </c:cat>
          <c:val>
            <c:numRef>
              <c:f>norm.loc!$C$2:$C$36</c:f>
              <c:numCache>
                <c:formatCode>General</c:formatCode>
                <c:ptCount val="35"/>
                <c:pt idx="0">
                  <c:v>0.12816428699999999</c:v>
                </c:pt>
                <c:pt idx="1">
                  <c:v>0.17359751200000001</c:v>
                </c:pt>
                <c:pt idx="2">
                  <c:v>0.229507075</c:v>
                </c:pt>
                <c:pt idx="3">
                  <c:v>0.29615888400000001</c:v>
                </c:pt>
                <c:pt idx="4">
                  <c:v>0.37301780299999998</c:v>
                </c:pt>
                <c:pt idx="5">
                  <c:v>0.45857509200000002</c:v>
                </c:pt>
                <c:pt idx="6">
                  <c:v>0.55025940100000004</c:v>
                </c:pt>
                <c:pt idx="7">
                  <c:v>0.64446685599999998</c:v>
                </c:pt>
                <c:pt idx="8">
                  <c:v>0.736732469</c:v>
                </c:pt>
                <c:pt idx="9">
                  <c:v>0.82204414599999998</c:v>
                </c:pt>
                <c:pt idx="10">
                  <c:v>0.89527524999999997</c:v>
                </c:pt>
                <c:pt idx="11">
                  <c:v>0.95168697000000002</c:v>
                </c:pt>
                <c:pt idx="12">
                  <c:v>0.98743331400000001</c:v>
                </c:pt>
                <c:pt idx="13">
                  <c:v>0.99999432200000005</c:v>
                </c:pt>
                <c:pt idx="14">
                  <c:v>0.98846978900000004</c:v>
                </c:pt>
                <c:pt idx="15">
                  <c:v>0.95368592699999999</c:v>
                </c:pt>
                <c:pt idx="16">
                  <c:v>0.89809743200000003</c:v>
                </c:pt>
                <c:pt idx="17">
                  <c:v>0.82550107299999997</c:v>
                </c:pt>
                <c:pt idx="18">
                  <c:v>0.74060721299999999</c:v>
                </c:pt>
                <c:pt idx="19">
                  <c:v>0.64853637399999997</c:v>
                </c:pt>
                <c:pt idx="20">
                  <c:v>0.55431527800000002</c:v>
                </c:pt>
                <c:pt idx="21">
                  <c:v>0.462440077</c:v>
                </c:pt>
                <c:pt idx="22">
                  <c:v>0.37655653500000003</c:v>
                </c:pt>
                <c:pt idx="23">
                  <c:v>0.29928229099999998</c:v>
                </c:pt>
                <c:pt idx="24">
                  <c:v>0.23217099199999999</c:v>
                </c:pt>
                <c:pt idx="25">
                  <c:v>0.175796815</c:v>
                </c:pt>
                <c:pt idx="26">
                  <c:v>0.129924231</c:v>
                </c:pt>
                <c:pt idx="27">
                  <c:v>9.3722834000000005E-2</c:v>
                </c:pt>
                <c:pt idx="28">
                  <c:v>6.5989795000000004E-2</c:v>
                </c:pt>
                <c:pt idx="29">
                  <c:v>4.5350727E-2</c:v>
                </c:pt>
                <c:pt idx="30">
                  <c:v>3.0420604E-2</c:v>
                </c:pt>
                <c:pt idx="31">
                  <c:v>1.9917165000000001E-2</c:v>
                </c:pt>
                <c:pt idx="32">
                  <c:v>1.2728092E-2</c:v>
                </c:pt>
                <c:pt idx="33">
                  <c:v>7.9391719999999995E-3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13-4806-8D01-72AA7F47D9FF}"/>
            </c:ext>
          </c:extLst>
        </c:ser>
        <c:ser>
          <c:idx val="2"/>
          <c:order val="2"/>
          <c:tx>
            <c:strRef>
              <c:f>norm.loc!$D$1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norm.loc!$A$2:$A$36</c:f>
              <c:strCache>
                <c:ptCount val="35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MAX SUM</c:v>
                </c:pt>
              </c:strCache>
            </c:strRef>
          </c:cat>
          <c:val>
            <c:numRef>
              <c:f>norm.loc!$D$2:$D$36</c:f>
              <c:numCache>
                <c:formatCode>General</c:formatCode>
                <c:ptCount val="35"/>
                <c:pt idx="0">
                  <c:v>8.1411890000000001E-2</c:v>
                </c:pt>
                <c:pt idx="1">
                  <c:v>0.11925924</c:v>
                </c:pt>
                <c:pt idx="2">
                  <c:v>0.17051883000000001</c:v>
                </c:pt>
                <c:pt idx="3">
                  <c:v>0.23797359000000001</c:v>
                </c:pt>
                <c:pt idx="4">
                  <c:v>0.32416138</c:v>
                </c:pt>
                <c:pt idx="5">
                  <c:v>0.43099267000000002</c:v>
                </c:pt>
                <c:pt idx="6">
                  <c:v>0.55931260999999999</c:v>
                </c:pt>
                <c:pt idx="7">
                  <c:v>0.70846017999999999</c:v>
                </c:pt>
                <c:pt idx="8">
                  <c:v>0.87589569</c:v>
                </c:pt>
                <c:pt idx="9">
                  <c:v>1.05697675</c:v>
                </c:pt>
                <c:pt idx="10">
                  <c:v>1.2449576899999999</c:v>
                </c:pt>
                <c:pt idx="11">
                  <c:v>1.43126435</c:v>
                </c:pt>
                <c:pt idx="12">
                  <c:v>1.60605799</c:v>
                </c:pt>
                <c:pt idx="13">
                  <c:v>1.75905209</c:v>
                </c:pt>
                <c:pt idx="14">
                  <c:v>1.8804954300000001</c:v>
                </c:pt>
                <c:pt idx="15">
                  <c:v>1.96219414</c:v>
                </c:pt>
                <c:pt idx="16">
                  <c:v>1.99842462</c:v>
                </c:pt>
                <c:pt idx="17">
                  <c:v>1.98659655</c:v>
                </c:pt>
                <c:pt idx="18">
                  <c:v>1.92755904</c:v>
                </c:pt>
                <c:pt idx="19">
                  <c:v>1.82549988</c:v>
                </c:pt>
                <c:pt idx="20">
                  <c:v>1.68745436</c:v>
                </c:pt>
                <c:pt idx="21">
                  <c:v>1.5225037400000001</c:v>
                </c:pt>
                <c:pt idx="22">
                  <c:v>1.3407901499999999</c:v>
                </c:pt>
                <c:pt idx="23">
                  <c:v>1.1524958199999999</c:v>
                </c:pt>
                <c:pt idx="24">
                  <c:v>0.96692772999999999</c:v>
                </c:pt>
                <c:pt idx="25">
                  <c:v>0.79181692000000004</c:v>
                </c:pt>
                <c:pt idx="26">
                  <c:v>0.63289496999999995</c:v>
                </c:pt>
                <c:pt idx="27">
                  <c:v>0.49375854000000002</c:v>
                </c:pt>
                <c:pt idx="28">
                  <c:v>0.37598776</c:v>
                </c:pt>
                <c:pt idx="29">
                  <c:v>0.27945308000000002</c:v>
                </c:pt>
                <c:pt idx="30">
                  <c:v>0.20273102000000001</c:v>
                </c:pt>
                <c:pt idx="31">
                  <c:v>0.14355145999999999</c:v>
                </c:pt>
                <c:pt idx="32">
                  <c:v>9.9213579999999996E-2</c:v>
                </c:pt>
                <c:pt idx="33">
                  <c:v>6.6928440000000006E-2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13-4806-8D01-72AA7F47D9FF}"/>
            </c:ext>
          </c:extLst>
        </c:ser>
        <c:ser>
          <c:idx val="3"/>
          <c:order val="3"/>
          <c:tx>
            <c:strRef>
              <c:f>norm.loc!$F$1</c:f>
              <c:strCache>
                <c:ptCount val="1"/>
                <c:pt idx="0">
                  <c:v>Rel Selectivity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norm.loc!$A$2:$A$36</c:f>
              <c:strCache>
                <c:ptCount val="35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MAX SUM</c:v>
                </c:pt>
              </c:strCache>
            </c:strRef>
          </c:cat>
          <c:val>
            <c:numRef>
              <c:f>norm.loc!$F$2:$F$36</c:f>
              <c:numCache>
                <c:formatCode>General</c:formatCode>
                <c:ptCount val="35"/>
                <c:pt idx="0">
                  <c:v>0.14529731084190906</c:v>
                </c:pt>
                <c:pt idx="1">
                  <c:v>0.18991706377926221</c:v>
                </c:pt>
                <c:pt idx="2">
                  <c:v>0.24320799106655924</c:v>
                </c:pt>
                <c:pt idx="3">
                  <c:v>0.30519529932835693</c:v>
                </c:pt>
                <c:pt idx="4">
                  <c:v>0.37534935830314253</c:v>
                </c:pt>
                <c:pt idx="5">
                  <c:v>0.45249548929789268</c:v>
                </c:pt>
                <c:pt idx="6">
                  <c:v>0.53476872898639194</c:v>
                </c:pt>
                <c:pt idx="7">
                  <c:v>0.61962854059540673</c:v>
                </c:pt>
                <c:pt idx="8">
                  <c:v>0.70394357990458223</c:v>
                </c:pt>
                <c:pt idx="9">
                  <c:v>0.78414927253152999</c:v>
                </c:pt>
                <c:pt idx="10">
                  <c:v>0.85647200958224567</c:v>
                </c:pt>
                <c:pt idx="11">
                  <c:v>0.91720394973830721</c:v>
                </c:pt>
                <c:pt idx="12">
                  <c:v>0.96300361517181476</c:v>
                </c:pt>
                <c:pt idx="13">
                  <c:v>0.99119061570132327</c:v>
                </c:pt>
                <c:pt idx="14">
                  <c:v>1</c:v>
                </c:pt>
                <c:pt idx="15">
                  <c:v>0.98876360014801379</c:v>
                </c:pt>
                <c:pt idx="16">
                  <c:v>0.95799266192641497</c:v>
                </c:pt>
                <c:pt idx="17">
                  <c:v>0.90934780904666312</c:v>
                </c:pt>
                <c:pt idx="18">
                  <c:v>0.845496820192007</c:v>
                </c:pt>
                <c:pt idx="19">
                  <c:v>0.76987614593858289</c:v>
                </c:pt>
                <c:pt idx="20">
                  <c:v>0.68638526158331536</c:v>
                </c:pt>
                <c:pt idx="21">
                  <c:v>0.59905183089813319</c:v>
                </c:pt>
                <c:pt idx="22">
                  <c:v>0.51170837164476002</c:v>
                </c:pt>
                <c:pt idx="23">
                  <c:v>0.42771727776314356</c:v>
                </c:pt>
                <c:pt idx="24">
                  <c:v>0.34977172665729939</c:v>
                </c:pt>
                <c:pt idx="25">
                  <c:v>0.27978688588878253</c:v>
                </c:pt>
                <c:pt idx="26">
                  <c:v>0.21888194481372597</c:v>
                </c:pt>
                <c:pt idx="27">
                  <c:v>0.16744107566021307</c:v>
                </c:pt>
                <c:pt idx="28">
                  <c:v>0.12523266087880294</c:v>
                </c:pt>
                <c:pt idx="29">
                  <c:v>9.1562014541037517E-2</c:v>
                </c:pt>
                <c:pt idx="30">
                  <c:v>6.5433218757685305E-2</c:v>
                </c:pt>
                <c:pt idx="31">
                  <c:v>4.5699756576692271E-2</c:v>
                </c:pt>
                <c:pt idx="32">
                  <c:v>3.1189885048108077E-2</c:v>
                </c:pt>
                <c:pt idx="33">
                  <c:v>2.0799530932052508E-2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13-4806-8D01-72AA7F47D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852928"/>
        <c:axId val="355853488"/>
      </c:lineChart>
      <c:catAx>
        <c:axId val="35585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53488"/>
        <c:crosses val="autoZero"/>
        <c:auto val="1"/>
        <c:lblAlgn val="ctr"/>
        <c:lblOffset val="100"/>
        <c:noMultiLvlLbl val="0"/>
      </c:catAx>
      <c:valAx>
        <c:axId val="355853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5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norm.loc!$G$2:$G$35</c:f>
              <c:numCache>
                <c:formatCode>General</c:formatCode>
                <c:ptCount val="34"/>
                <c:pt idx="0">
                  <c:v>1</c:v>
                </c:pt>
                <c:pt idx="1">
                  <c:v>9</c:v>
                </c:pt>
                <c:pt idx="2">
                  <c:v>27</c:v>
                </c:pt>
                <c:pt idx="3">
                  <c:v>44</c:v>
                </c:pt>
                <c:pt idx="4">
                  <c:v>62</c:v>
                </c:pt>
                <c:pt idx="5">
                  <c:v>102</c:v>
                </c:pt>
                <c:pt idx="6">
                  <c:v>134</c:v>
                </c:pt>
                <c:pt idx="7">
                  <c:v>110</c:v>
                </c:pt>
                <c:pt idx="8">
                  <c:v>81</c:v>
                </c:pt>
                <c:pt idx="9">
                  <c:v>60</c:v>
                </c:pt>
                <c:pt idx="10">
                  <c:v>61</c:v>
                </c:pt>
                <c:pt idx="11">
                  <c:v>51</c:v>
                </c:pt>
                <c:pt idx="12">
                  <c:v>38</c:v>
                </c:pt>
                <c:pt idx="13">
                  <c:v>22</c:v>
                </c:pt>
                <c:pt idx="14">
                  <c:v>25</c:v>
                </c:pt>
                <c:pt idx="15">
                  <c:v>19</c:v>
                </c:pt>
                <c:pt idx="16">
                  <c:v>21</c:v>
                </c:pt>
                <c:pt idx="17">
                  <c:v>16</c:v>
                </c:pt>
                <c:pt idx="18">
                  <c:v>22</c:v>
                </c:pt>
                <c:pt idx="19">
                  <c:v>21</c:v>
                </c:pt>
                <c:pt idx="20">
                  <c:v>13</c:v>
                </c:pt>
                <c:pt idx="21">
                  <c:v>8</c:v>
                </c:pt>
                <c:pt idx="22">
                  <c:v>7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5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7-4E21-9BEF-2BDC5124A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843632"/>
        <c:axId val="469843960"/>
      </c:lineChart>
      <c:catAx>
        <c:axId val="469843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43960"/>
        <c:crosses val="autoZero"/>
        <c:auto val="1"/>
        <c:lblAlgn val="ctr"/>
        <c:lblOffset val="100"/>
        <c:noMultiLvlLbl val="0"/>
      </c:catAx>
      <c:valAx>
        <c:axId val="46984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4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bi.norm!$B$1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bi.norm!$A$2:$A$36</c:f>
              <c:strCache>
                <c:ptCount val="35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MAX SUM</c:v>
                </c:pt>
              </c:strCache>
            </c:strRef>
          </c:cat>
          <c:val>
            <c:numRef>
              <c:f>bi.norm!$B$2:$B$36</c:f>
              <c:numCache>
                <c:formatCode>0.00E+00</c:formatCode>
                <c:ptCount val="35"/>
                <c:pt idx="0">
                  <c:v>7.2825869999999998E-8</c:v>
                </c:pt>
                <c:pt idx="1">
                  <c:v>8.4577310000000003E-8</c:v>
                </c:pt>
                <c:pt idx="2">
                  <c:v>9.5809879999999997E-8</c:v>
                </c:pt>
                <c:pt idx="3">
                  <c:v>1.0586559999999999E-7</c:v>
                </c:pt>
                <c:pt idx="4">
                  <c:v>1.141006E-7</c:v>
                </c:pt>
                <c:pt idx="5">
                  <c:v>1.1995240000000001E-7</c:v>
                </c:pt>
                <c:pt idx="6">
                  <c:v>1.230037E-7</c:v>
                </c:pt>
                <c:pt idx="7">
                  <c:v>1.2303129999999999E-7</c:v>
                </c:pt>
                <c:pt idx="8">
                  <c:v>1.200333E-7</c:v>
                </c:pt>
                <c:pt idx="9">
                  <c:v>1.142288E-7</c:v>
                </c:pt>
                <c:pt idx="10">
                  <c:v>1.060322E-7</c:v>
                </c:pt>
                <c:pt idx="11">
                  <c:v>9.6003789999999997E-8</c:v>
                </c:pt>
                <c:pt idx="12">
                  <c:v>8.4786580000000002E-8</c:v>
                </c:pt>
                <c:pt idx="13">
                  <c:v>7.3038879999999998E-8</c:v>
                </c:pt>
                <c:pt idx="14">
                  <c:v>6.1371859999999997E-8</c:v>
                </c:pt>
                <c:pt idx="15">
                  <c:v>5.0300549999999997E-8</c:v>
                </c:pt>
                <c:pt idx="16">
                  <c:v>4.0212810000000003E-8</c:v>
                </c:pt>
                <c:pt idx="17">
                  <c:v>3.1357699999999999E-8</c:v>
                </c:pt>
                <c:pt idx="18">
                  <c:v>2.3851319999999999E-8</c:v>
                </c:pt>
                <c:pt idx="19">
                  <c:v>1.7695740000000002E-8</c:v>
                </c:pt>
                <c:pt idx="20">
                  <c:v>1.2806000000000001E-8</c:v>
                </c:pt>
                <c:pt idx="21">
                  <c:v>9.0395369999999999E-9</c:v>
                </c:pt>
                <c:pt idx="22">
                  <c:v>6.2239659999999999E-9</c:v>
                </c:pt>
                <c:pt idx="23">
                  <c:v>4.1800019999999999E-9</c:v>
                </c:pt>
                <c:pt idx="24">
                  <c:v>2.738256E-9</c:v>
                </c:pt>
                <c:pt idx="25">
                  <c:v>1.749685E-9</c:v>
                </c:pt>
                <c:pt idx="26">
                  <c:v>1.0905200000000001E-9</c:v>
                </c:pt>
                <c:pt idx="27">
                  <c:v>6.6297329999999995E-10</c:v>
                </c:pt>
                <c:pt idx="28">
                  <c:v>3.9313929999999998E-10</c:v>
                </c:pt>
                <c:pt idx="29">
                  <c:v>2.273972E-10</c:v>
                </c:pt>
                <c:pt idx="30">
                  <c:v>1.2829570000000001E-10</c:v>
                </c:pt>
                <c:pt idx="31">
                  <c:v>7.060366E-11</c:v>
                </c:pt>
                <c:pt idx="32">
                  <c:v>3.789925E-11</c:v>
                </c:pt>
                <c:pt idx="33">
                  <c:v>1.9843680000000001E-11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4-4D31-9EE0-5CF2F5C9595B}"/>
            </c:ext>
          </c:extLst>
        </c:ser>
        <c:ser>
          <c:idx val="1"/>
          <c:order val="1"/>
          <c:tx>
            <c:strRef>
              <c:f>bi.norm!$C$1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bi.norm!$A$2:$A$36</c:f>
              <c:strCache>
                <c:ptCount val="35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MAX SUM</c:v>
                </c:pt>
              </c:strCache>
            </c:strRef>
          </c:cat>
          <c:val>
            <c:numRef>
              <c:f>bi.norm!$C$2:$C$36</c:f>
              <c:numCache>
                <c:formatCode>0.00E+00</c:formatCode>
                <c:ptCount val="35"/>
                <c:pt idx="0">
                  <c:v>5.5970390000000003E-8</c:v>
                </c:pt>
                <c:pt idx="1">
                  <c:v>6.5704749999999998E-8</c:v>
                </c:pt>
                <c:pt idx="2">
                  <c:v>7.574452E-8</c:v>
                </c:pt>
                <c:pt idx="3">
                  <c:v>8.5747550000000003E-8</c:v>
                </c:pt>
                <c:pt idx="4">
                  <c:v>9.5325329999999994E-8</c:v>
                </c:pt>
                <c:pt idx="5">
                  <c:v>1.040665E-7</c:v>
                </c:pt>
                <c:pt idx="6">
                  <c:v>1.115654E-7</c:v>
                </c:pt>
                <c:pt idx="7">
                  <c:v>1.1745310000000001E-7</c:v>
                </c:pt>
                <c:pt idx="8">
                  <c:v>1.2142699999999999E-7</c:v>
                </c:pt>
                <c:pt idx="9">
                  <c:v>1.23277E-7</c:v>
                </c:pt>
                <c:pt idx="10">
                  <c:v>1.229037E-7</c:v>
                </c:pt>
                <c:pt idx="11">
                  <c:v>1.203272E-7</c:v>
                </c:pt>
                <c:pt idx="12">
                  <c:v>1.1568549999999999E-7</c:v>
                </c:pt>
                <c:pt idx="13">
                  <c:v>1.092219E-7</c:v>
                </c:pt>
                <c:pt idx="14">
                  <c:v>1.0126439999999999E-7</c:v>
                </c:pt>
                <c:pt idx="15">
                  <c:v>9.2197679999999993E-8</c:v>
                </c:pt>
                <c:pt idx="16">
                  <c:v>8.2432630000000002E-8</c:v>
                </c:pt>
                <c:pt idx="17">
                  <c:v>7.2375969999999996E-8</c:v>
                </c:pt>
                <c:pt idx="18">
                  <c:v>6.2403029999999996E-8</c:v>
                </c:pt>
                <c:pt idx="19">
                  <c:v>5.2836370000000003E-8</c:v>
                </c:pt>
                <c:pt idx="20">
                  <c:v>4.3931530000000002E-8</c:v>
                </c:pt>
                <c:pt idx="21">
                  <c:v>3.5870370000000002E-8</c:v>
                </c:pt>
                <c:pt idx="22">
                  <c:v>2.8761479999999999E-8</c:v>
                </c:pt>
                <c:pt idx="23">
                  <c:v>2.2646589999999999E-8</c:v>
                </c:pt>
                <c:pt idx="24">
                  <c:v>1.7510980000000001E-8</c:v>
                </c:pt>
                <c:pt idx="25">
                  <c:v>1.3296400000000001E-8</c:v>
                </c:pt>
                <c:pt idx="26">
                  <c:v>9.9145650000000001E-9</c:v>
                </c:pt>
                <c:pt idx="27">
                  <c:v>7.25988E-9</c:v>
                </c:pt>
                <c:pt idx="28">
                  <c:v>5.2203689999999999E-9</c:v>
                </c:pt>
                <c:pt idx="29">
                  <c:v>3.6862860000000001E-9</c:v>
                </c:pt>
                <c:pt idx="30">
                  <c:v>2.5561890000000001E-9</c:v>
                </c:pt>
                <c:pt idx="31">
                  <c:v>1.7406549999999999E-9</c:v>
                </c:pt>
                <c:pt idx="32">
                  <c:v>1.1639889999999999E-9</c:v>
                </c:pt>
                <c:pt idx="33">
                  <c:v>7.6436510000000001E-10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34-4D31-9EE0-5CF2F5C9595B}"/>
            </c:ext>
          </c:extLst>
        </c:ser>
        <c:ser>
          <c:idx val="2"/>
          <c:order val="2"/>
          <c:tx>
            <c:strRef>
              <c:f>bi.norm!$D$1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bi.norm!$A$2:$A$36</c:f>
              <c:strCache>
                <c:ptCount val="35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MAX SUM</c:v>
                </c:pt>
              </c:strCache>
            </c:strRef>
          </c:cat>
          <c:val>
            <c:numRef>
              <c:f>bi.norm!$D$2:$D$36</c:f>
              <c:numCache>
                <c:formatCode>0.00E+00</c:formatCode>
                <c:ptCount val="35"/>
                <c:pt idx="0">
                  <c:v>4.480881E-8</c:v>
                </c:pt>
                <c:pt idx="1">
                  <c:v>5.2645949999999998E-8</c:v>
                </c:pt>
                <c:pt idx="2">
                  <c:v>6.0996480000000006E-8</c:v>
                </c:pt>
                <c:pt idx="3">
                  <c:v>6.9692009999999996E-8</c:v>
                </c:pt>
                <c:pt idx="4">
                  <c:v>7.8523470000000005E-8</c:v>
                </c:pt>
                <c:pt idx="5">
                  <c:v>8.7247779999999998E-8</c:v>
                </c:pt>
                <c:pt idx="6">
                  <c:v>9.5597729999999993E-8</c:v>
                </c:pt>
                <c:pt idx="7">
                  <c:v>1.03295E-7</c:v>
                </c:pt>
                <c:pt idx="8">
                  <c:v>1.1006489999999999E-7</c:v>
                </c:pt>
                <c:pt idx="9">
                  <c:v>1.156531E-7</c:v>
                </c:pt>
                <c:pt idx="10">
                  <c:v>1.1984050000000001E-7</c:v>
                </c:pt>
                <c:pt idx="11">
                  <c:v>1.2245839999999999E-7</c:v>
                </c:pt>
                <c:pt idx="12">
                  <c:v>1.233991E-7</c:v>
                </c:pt>
                <c:pt idx="13">
                  <c:v>1.2262339999999999E-7</c:v>
                </c:pt>
                <c:pt idx="14">
                  <c:v>1.2016369999999999E-7</c:v>
                </c:pt>
                <c:pt idx="15">
                  <c:v>1.161212E-7</c:v>
                </c:pt>
                <c:pt idx="16">
                  <c:v>1.1065939999999999E-7</c:v>
                </c:pt>
                <c:pt idx="17">
                  <c:v>1.0399269999999999E-7</c:v>
                </c:pt>
                <c:pt idx="18">
                  <c:v>9.6373199999999996E-8</c:v>
                </c:pt>
                <c:pt idx="19">
                  <c:v>8.8074030000000001E-8</c:v>
                </c:pt>
                <c:pt idx="20">
                  <c:v>7.9373909999999998E-8</c:v>
                </c:pt>
                <c:pt idx="21">
                  <c:v>7.0541720000000001E-8</c:v>
                </c:pt>
                <c:pt idx="22">
                  <c:v>6.1823360000000006E-8</c:v>
                </c:pt>
                <c:pt idx="23">
                  <c:v>5.3431519999999997E-8</c:v>
                </c:pt>
                <c:pt idx="24">
                  <c:v>4.5538719999999998E-8</c:v>
                </c:pt>
                <c:pt idx="25">
                  <c:v>3.8273879999999997E-8</c:v>
                </c:pt>
                <c:pt idx="26">
                  <c:v>3.172213E-8</c:v>
                </c:pt>
                <c:pt idx="27">
                  <c:v>2.5927499999999998E-8</c:v>
                </c:pt>
                <c:pt idx="28">
                  <c:v>2.0897640000000001E-8</c:v>
                </c:pt>
                <c:pt idx="29">
                  <c:v>1.66101E-8</c:v>
                </c:pt>
                <c:pt idx="30">
                  <c:v>1.3019239999999999E-8</c:v>
                </c:pt>
                <c:pt idx="31">
                  <c:v>1.006322E-8</c:v>
                </c:pt>
                <c:pt idx="32">
                  <c:v>7.6705610000000003E-9</c:v>
                </c:pt>
                <c:pt idx="33">
                  <c:v>5.7657449999999999E-9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34-4D31-9EE0-5CF2F5C9595B}"/>
            </c:ext>
          </c:extLst>
        </c:ser>
        <c:ser>
          <c:idx val="3"/>
          <c:order val="3"/>
          <c:tx>
            <c:strRef>
              <c:f>bi.norm!$F$1</c:f>
              <c:strCache>
                <c:ptCount val="1"/>
                <c:pt idx="0">
                  <c:v>Rel Selectivity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bi.norm!$A$2:$A$36</c:f>
              <c:strCache>
                <c:ptCount val="35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MAX SUM</c:v>
                </c:pt>
              </c:strCache>
            </c:strRef>
          </c:cat>
          <c:val>
            <c:numRef>
              <c:f>bi.norm!$F$2:$F$36</c:f>
              <c:numCache>
                <c:formatCode>General</c:formatCode>
                <c:ptCount val="35"/>
                <c:pt idx="0" formatCode="#,##0.00">
                  <c:v>0.49157778552374015</c:v>
                </c:pt>
                <c:pt idx="1">
                  <c:v>0.57460822876048145</c:v>
                </c:pt>
                <c:pt idx="2">
                  <c:v>0.65848794975859315</c:v>
                </c:pt>
                <c:pt idx="3">
                  <c:v>0.73990818297372662</c:v>
                </c:pt>
                <c:pt idx="4">
                  <c:v>0.81535365525263548</c:v>
                </c:pt>
                <c:pt idx="5">
                  <c:v>0.88137855226075279</c:v>
                </c:pt>
                <c:pt idx="6">
                  <c:v>0.93489596326186308</c:v>
                </c:pt>
                <c:pt idx="7">
                  <c:v>0.97344113372195917</c:v>
                </c:pt>
                <c:pt idx="8">
                  <c:v>0.99537403701280081</c:v>
                </c:pt>
                <c:pt idx="9">
                  <c:v>1</c:v>
                </c:pt>
                <c:pt idx="10">
                  <c:v>0.98759057183607712</c:v>
                </c:pt>
                <c:pt idx="11">
                  <c:v>0.95931148839799874</c:v>
                </c:pt>
                <c:pt idx="12">
                  <c:v>0.91706928524242204</c:v>
                </c:pt>
                <c:pt idx="13">
                  <c:v>0.86330595094729323</c:v>
                </c:pt>
                <c:pt idx="14">
                  <c:v>0.80077257008105973</c:v>
                </c:pt>
                <c:pt idx="15">
                  <c:v>0.73230330596227367</c:v>
                </c:pt>
                <c:pt idx="16">
                  <c:v>0.66062285277250543</c:v>
                </c:pt>
                <c:pt idx="17">
                  <c:v>0.5881952005173875</c:v>
                </c:pt>
                <c:pt idx="18">
                  <c:v>0.51712571876285718</c:v>
                </c:pt>
                <c:pt idx="19">
                  <c:v>0.44910701669984809</c:v>
                </c:pt>
                <c:pt idx="20">
                  <c:v>0.38541132617640389</c:v>
                </c:pt>
                <c:pt idx="21">
                  <c:v>0.3269112770483768</c:v>
                </c:pt>
                <c:pt idx="22">
                  <c:v>0.2741225153889652</c:v>
                </c:pt>
                <c:pt idx="23">
                  <c:v>0.2272577924554641</c:v>
                </c:pt>
                <c:pt idx="24">
                  <c:v>0.18628429299105873</c:v>
                </c:pt>
                <c:pt idx="25">
                  <c:v>0.15098009706112459</c:v>
                </c:pt>
                <c:pt idx="26">
                  <c:v>0.12098580837124592</c:v>
                </c:pt>
                <c:pt idx="27">
                  <c:v>9.5850205955449505E-2</c:v>
                </c:pt>
                <c:pt idx="28">
                  <c:v>7.5068611607975899E-2</c:v>
                </c:pt>
                <c:pt idx="29">
                  <c:v>5.8114868972578629E-2</c:v>
                </c:pt>
                <c:pt idx="30">
                  <c:v>4.4466456034379993E-2</c:v>
                </c:pt>
                <c:pt idx="31">
                  <c:v>3.3623614356030666E-2</c:v>
                </c:pt>
                <c:pt idx="32">
                  <c:v>2.5123108181614565E-2</c:v>
                </c:pt>
                <c:pt idx="33">
                  <c:v>1.8546761188801979E-2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34-4D31-9EE0-5CF2F5C95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09680"/>
        <c:axId val="193310240"/>
      </c:lineChart>
      <c:catAx>
        <c:axId val="19330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10240"/>
        <c:crosses val="autoZero"/>
        <c:auto val="1"/>
        <c:lblAlgn val="ctr"/>
        <c:lblOffset val="100"/>
        <c:noMultiLvlLbl val="0"/>
      </c:catAx>
      <c:valAx>
        <c:axId val="193310240"/>
        <c:scaling>
          <c:orientation val="minMax"/>
          <c:min val="5.0000000000000072E-7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0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Abundance!$A$7:$A$23</c:f>
              <c:numCache>
                <c:formatCode>General</c:formatCode>
                <c:ptCount val="1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</c:numCache>
            </c:numRef>
          </c:cat>
          <c:val>
            <c:numRef>
              <c:f>Abundance!$E$7:$E$23</c:f>
              <c:numCache>
                <c:formatCode>0.0000</c:formatCode>
                <c:ptCount val="17"/>
                <c:pt idx="0">
                  <c:v>762.91237907512254</c:v>
                </c:pt>
                <c:pt idx="1">
                  <c:v>892.96266506969926</c:v>
                </c:pt>
                <c:pt idx="2">
                  <c:v>2157.2744449082234</c:v>
                </c:pt>
                <c:pt idx="3">
                  <c:v>2050.1173711459078</c:v>
                </c:pt>
                <c:pt idx="4">
                  <c:v>2769.1555905629421</c:v>
                </c:pt>
                <c:pt idx="5">
                  <c:v>3056.7625525862945</c:v>
                </c:pt>
                <c:pt idx="6">
                  <c:v>2294.4497220642788</c:v>
                </c:pt>
                <c:pt idx="7">
                  <c:v>1206.4047373442513</c:v>
                </c:pt>
                <c:pt idx="8">
                  <c:v>885.42130382705773</c:v>
                </c:pt>
                <c:pt idx="9">
                  <c:v>565.30753557292508</c:v>
                </c:pt>
                <c:pt idx="10">
                  <c:v>1548.0006196667196</c:v>
                </c:pt>
                <c:pt idx="11">
                  <c:v>935.97046586034514</c:v>
                </c:pt>
                <c:pt idx="12">
                  <c:v>1771.2219667176237</c:v>
                </c:pt>
                <c:pt idx="13">
                  <c:v>118.74286973383288</c:v>
                </c:pt>
                <c:pt idx="14">
                  <c:v>1533.665724366721</c:v>
                </c:pt>
                <c:pt idx="15">
                  <c:v>348.50733229611996</c:v>
                </c:pt>
                <c:pt idx="16">
                  <c:v>1107.0915790560116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C5-43F1-AB0D-F6B8A0440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244672"/>
        <c:axId val="922245000"/>
      </c:lineChart>
      <c:catAx>
        <c:axId val="92224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245000"/>
        <c:crosses val="autoZero"/>
        <c:auto val="1"/>
        <c:lblAlgn val="ctr"/>
        <c:lblOffset val="100"/>
        <c:noMultiLvlLbl val="0"/>
      </c:catAx>
      <c:valAx>
        <c:axId val="92224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24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vonBs!$J$2:$J$51</c:f>
              <c:numCache>
                <c:formatCode>General</c:formatCode>
                <c:ptCount val="50"/>
                <c:pt idx="0">
                  <c:v>38.13868190293725</c:v>
                </c:pt>
                <c:pt idx="1">
                  <c:v>46.502557652661551</c:v>
                </c:pt>
                <c:pt idx="2">
                  <c:v>54.753578453198848</c:v>
                </c:pt>
                <c:pt idx="3">
                  <c:v>62.89326707221543</c:v>
                </c:pt>
                <c:pt idx="4">
                  <c:v>70.923125730459645</c:v>
                </c:pt>
                <c:pt idx="5">
                  <c:v>78.844636379004527</c:v>
                </c:pt>
                <c:pt idx="6">
                  <c:v>86.659260972749351</c:v>
                </c:pt>
                <c:pt idx="7">
                  <c:v>94.368441740230807</c:v>
                </c:pt>
                <c:pt idx="8">
                  <c:v>101.97360144979348</c:v>
                </c:pt>
                <c:pt idx="9">
                  <c:v>109.4761436721691</c:v>
                </c:pt>
                <c:pt idx="10">
                  <c:v>116.8774530395125</c:v>
                </c:pt>
                <c:pt idx="11">
                  <c:v>124.17889550094252</c:v>
                </c:pt>
                <c:pt idx="12">
                  <c:v>131.38181857463491</c:v>
                </c:pt>
                <c:pt idx="13">
                  <c:v>138.48755159651358</c:v>
                </c:pt>
                <c:pt idx="14">
                  <c:v>145.49740596558624</c:v>
                </c:pt>
                <c:pt idx="15">
                  <c:v>152.41267538596972</c:v>
                </c:pt>
                <c:pt idx="16">
                  <c:v>159.23463610564983</c:v>
                </c:pt>
                <c:pt idx="17">
                  <c:v>165.96454715201895</c:v>
                </c:pt>
                <c:pt idx="18">
                  <c:v>172.60365056423646</c:v>
                </c:pt>
                <c:pt idx="19">
                  <c:v>179.15317162245285</c:v>
                </c:pt>
                <c:pt idx="20">
                  <c:v>185.61431907394174</c:v>
                </c:pt>
                <c:pt idx="21">
                  <c:v>191.98828535618006</c:v>
                </c:pt>
                <c:pt idx="22">
                  <c:v>198.2762468169185</c:v>
                </c:pt>
                <c:pt idx="23">
                  <c:v>204.47936393128268</c:v>
                </c:pt>
                <c:pt idx="24">
                  <c:v>210.59878151594432</c:v>
                </c:pt>
                <c:pt idx="25">
                  <c:v>216.63562894040311</c:v>
                </c:pt>
                <c:pt idx="26">
                  <c:v>222.59102033541774</c:v>
                </c:pt>
                <c:pt idx="27">
                  <c:v>228.46605479862416</c:v>
                </c:pt>
                <c:pt idx="28">
                  <c:v>234.26181659737966</c:v>
                </c:pt>
                <c:pt idx="29">
                  <c:v>239.97937536886997</c:v>
                </c:pt>
                <c:pt idx="30">
                  <c:v>245.6197863175162</c:v>
                </c:pt>
                <c:pt idx="31">
                  <c:v>251.1840904097179</c:v>
                </c:pt>
                <c:pt idx="32">
                  <c:v>256.67331456596929</c:v>
                </c:pt>
                <c:pt idx="33">
                  <c:v>262.08847185038195</c:v>
                </c:pt>
                <c:pt idx="34">
                  <c:v>267.43056165765125</c:v>
                </c:pt>
                <c:pt idx="35">
                  <c:v>272.70056989749997</c:v>
                </c:pt>
                <c:pt idx="36">
                  <c:v>277.89946917663246</c:v>
                </c:pt>
                <c:pt idx="37">
                  <c:v>283.02821897823418</c:v>
                </c:pt>
                <c:pt idx="38">
                  <c:v>288.08776583904961</c:v>
                </c:pt>
                <c:pt idx="39">
                  <c:v>293.07904352406985</c:v>
                </c:pt>
                <c:pt idx="40">
                  <c:v>298.00297319886414</c:v>
                </c:pt>
                <c:pt idx="41">
                  <c:v>302.86046359958533</c:v>
                </c:pt>
                <c:pt idx="42">
                  <c:v>307.65241120068185</c:v>
                </c:pt>
                <c:pt idx="43">
                  <c:v>312.37970038034666</c:v>
                </c:pt>
                <c:pt idx="44">
                  <c:v>317.0432035837336</c:v>
                </c:pt>
                <c:pt idx="45">
                  <c:v>321.64378148397151</c:v>
                </c:pt>
                <c:pt idx="46">
                  <c:v>326.18228314100605</c:v>
                </c:pt>
                <c:pt idx="47">
                  <c:v>330.65954615829804</c:v>
                </c:pt>
                <c:pt idx="48">
                  <c:v>335.076396837407</c:v>
                </c:pt>
                <c:pt idx="49">
                  <c:v>339.43365033048957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AF-43D7-9907-DFFF182FBCE5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vonBs!$K$2:$K$51</c:f>
              <c:numCache>
                <c:formatCode>General</c:formatCode>
                <c:ptCount val="50"/>
                <c:pt idx="0">
                  <c:v>33.416295230050913</c:v>
                </c:pt>
                <c:pt idx="1">
                  <c:v>42.769562094861662</c:v>
                </c:pt>
                <c:pt idx="2">
                  <c:v>51.870242855458315</c:v>
                </c:pt>
                <c:pt idx="3">
                  <c:v>60.725158630169233</c:v>
                </c:pt>
                <c:pt idx="4">
                  <c:v>69.340946332196438</c:v>
                </c:pt>
                <c:pt idx="5">
                  <c:v>77.72406364409737</c:v>
                </c:pt>
                <c:pt idx="6">
                  <c:v>85.880793857929987</c:v>
                </c:pt>
                <c:pt idx="7">
                  <c:v>93.817250584689447</c:v>
                </c:pt>
                <c:pt idx="8">
                  <c:v>101.53938233656574</c:v>
                </c:pt>
                <c:pt idx="9">
                  <c:v>109.05297698545687</c:v>
                </c:pt>
                <c:pt idx="10">
                  <c:v>116.36366610107946</c:v>
                </c:pt>
                <c:pt idx="11">
                  <c:v>123.47692917192802</c:v>
                </c:pt>
                <c:pt idx="12">
                  <c:v>130.39809771224674</c:v>
                </c:pt>
                <c:pt idx="13">
                  <c:v>137.13235925809218</c:v>
                </c:pt>
                <c:pt idx="14">
                  <c:v>143.68476125548156</c:v>
                </c:pt>
                <c:pt idx="15">
                  <c:v>150.06021484354105</c:v>
                </c:pt>
                <c:pt idx="16">
                  <c:v>156.26349853549033</c:v>
                </c:pt>
                <c:pt idx="17">
                  <c:v>162.29926180022082</c:v>
                </c:pt>
                <c:pt idx="18">
                  <c:v>168.17202854715362</c:v>
                </c:pt>
                <c:pt idx="19">
                  <c:v>173.88620051698803</c:v>
                </c:pt>
                <c:pt idx="20">
                  <c:v>179.44606058088289</c:v>
                </c:pt>
                <c:pt idx="21">
                  <c:v>184.85577595054284</c:v>
                </c:pt>
                <c:pt idx="22">
                  <c:v>190.11940130161577</c:v>
                </c:pt>
                <c:pt idx="23">
                  <c:v>195.24088181274274</c:v>
                </c:pt>
                <c:pt idx="24">
                  <c:v>200.22405612253795</c:v>
                </c:pt>
                <c:pt idx="25">
                  <c:v>205.072659206715</c:v>
                </c:pt>
                <c:pt idx="26">
                  <c:v>209.79032517751622</c:v>
                </c:pt>
                <c:pt idx="27">
                  <c:v>214.38059000754257</c:v>
                </c:pt>
                <c:pt idx="28">
                  <c:v>218.84689418002694</c:v>
                </c:pt>
                <c:pt idx="29">
                  <c:v>223.19258526753597</c:v>
                </c:pt>
                <c:pt idx="30">
                  <c:v>227.42092044103359</c:v>
                </c:pt>
                <c:pt idx="31">
                  <c:v>231.53506891118764</c:v>
                </c:pt>
                <c:pt idx="32">
                  <c:v>235.53811430374813</c:v>
                </c:pt>
                <c:pt idx="33">
                  <c:v>239.43305697077821</c:v>
                </c:pt>
                <c:pt idx="34">
                  <c:v>243.22281623947032</c:v>
                </c:pt>
                <c:pt idx="35">
                  <c:v>246.91023260023266</c:v>
                </c:pt>
                <c:pt idx="36">
                  <c:v>250.4980698356859</c:v>
                </c:pt>
                <c:pt idx="37">
                  <c:v>253.98901709216642</c:v>
                </c:pt>
                <c:pt idx="38">
                  <c:v>257.38569089528823</c:v>
                </c:pt>
                <c:pt idx="39">
                  <c:v>260.6906371110743</c:v>
                </c:pt>
                <c:pt idx="40">
                  <c:v>263.9063328541273</c:v>
                </c:pt>
                <c:pt idx="41">
                  <c:v>267.03518834427018</c:v>
                </c:pt>
                <c:pt idx="42">
                  <c:v>270.07954871304781</c:v>
                </c:pt>
                <c:pt idx="43">
                  <c:v>273.04169576144358</c:v>
                </c:pt>
                <c:pt idx="44">
                  <c:v>275.92384967012924</c:v>
                </c:pt>
                <c:pt idx="45">
                  <c:v>278.72817066352832</c:v>
                </c:pt>
                <c:pt idx="46">
                  <c:v>281.45676062894267</c:v>
                </c:pt>
                <c:pt idx="47">
                  <c:v>284.11166469195268</c:v>
                </c:pt>
                <c:pt idx="48">
                  <c:v>286.69487274927502</c:v>
                </c:pt>
                <c:pt idx="49">
                  <c:v>289.20832096022451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F-43D7-9907-DFFF182FBCE5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vonBs!$L$2:$L$51</c:f>
              <c:numCache>
                <c:formatCode>General</c:formatCode>
                <c:ptCount val="50"/>
                <c:pt idx="0">
                  <c:v>28.701847786644098</c:v>
                </c:pt>
                <c:pt idx="1">
                  <c:v>40.312378096339678</c:v>
                </c:pt>
                <c:pt idx="2">
                  <c:v>51.323572976374862</c:v>
                </c:pt>
                <c:pt idx="3">
                  <c:v>61.766370114147648</c:v>
                </c:pt>
                <c:pt idx="4">
                  <c:v>71.670110194018733</c:v>
                </c:pt>
                <c:pt idx="5">
                  <c:v>81.062619334588291</c:v>
                </c:pt>
                <c:pt idx="6">
                  <c:v>89.970287270561755</c:v>
                </c:pt>
                <c:pt idx="7">
                  <c:v>98.418141498868437</c:v>
                </c:pt>
                <c:pt idx="8">
                  <c:v>106.42991759735854</c:v>
                </c:pt>
                <c:pt idx="9">
                  <c:v>114.02812591365002</c:v>
                </c:pt>
                <c:pt idx="10">
                  <c:v>121.23411481149758</c:v>
                </c:pt>
                <c:pt idx="11">
                  <c:v>128.06813065238555</c:v>
                </c:pt>
                <c:pt idx="12">
                  <c:v>134.54937468087115</c:v>
                </c:pt>
                <c:pt idx="13">
                  <c:v>140.69605697350713</c:v>
                </c:pt>
                <c:pt idx="14">
                  <c:v>146.52544760292193</c:v>
                </c:pt>
                <c:pt idx="15">
                  <c:v>152.05392516081056</c:v>
                </c:pt>
                <c:pt idx="16">
                  <c:v>157.29702277616906</c:v>
                </c:pt>
                <c:pt idx="17">
                  <c:v>162.26947175806868</c:v>
                </c:pt>
                <c:pt idx="18">
                  <c:v>166.98524298559019</c:v>
                </c:pt>
                <c:pt idx="19">
                  <c:v>171.4575861612108</c:v>
                </c:pt>
                <c:pt idx="20">
                  <c:v>175.69906703793092</c:v>
                </c:pt>
                <c:pt idx="21">
                  <c:v>179.72160272473818</c:v>
                </c:pt>
                <c:pt idx="22">
                  <c:v>183.53649516960297</c:v>
                </c:pt>
                <c:pt idx="23">
                  <c:v>187.15446291408242</c:v>
                </c:pt>
                <c:pt idx="24">
                  <c:v>190.58567120875244</c:v>
                </c:pt>
                <c:pt idx="25">
                  <c:v>193.83976057408094</c:v>
                </c:pt>
                <c:pt idx="26">
                  <c:v>196.92587388698971</c:v>
                </c:pt>
                <c:pt idx="27">
                  <c:v>199.8526820692079</c:v>
                </c:pt>
                <c:pt idx="28">
                  <c:v>202.62840844959325</c:v>
                </c:pt>
                <c:pt idx="29">
                  <c:v>205.26085186887062</c:v>
                </c:pt>
                <c:pt idx="30">
                  <c:v>207.75740859170378</c:v>
                </c:pt>
                <c:pt idx="31">
                  <c:v>210.12509308766707</c:v>
                </c:pt>
                <c:pt idx="32">
                  <c:v>212.37055773950289</c:v>
                </c:pt>
                <c:pt idx="33">
                  <c:v>214.50011153403952</c:v>
                </c:pt>
                <c:pt idx="34">
                  <c:v>216.51973778828386</c:v>
                </c:pt>
                <c:pt idx="35">
                  <c:v>218.43511096049369</c:v>
                </c:pt>
                <c:pt idx="36">
                  <c:v>220.25161259346234</c:v>
                </c:pt>
                <c:pt idx="37">
                  <c:v>221.97434643481122</c:v>
                </c:pt>
                <c:pt idx="38">
                  <c:v>223.60815277677338</c:v>
                </c:pt>
                <c:pt idx="39">
                  <c:v>225.15762205575709</c:v>
                </c:pt>
                <c:pt idx="40">
                  <c:v>226.6271077499006</c:v>
                </c:pt>
                <c:pt idx="41">
                  <c:v>228.02073861085501</c:v>
                </c:pt>
                <c:pt idx="42">
                  <c:v>229.34243026416266</c:v>
                </c:pt>
                <c:pt idx="43">
                  <c:v>230.59589621082429</c:v>
                </c:pt>
                <c:pt idx="44">
                  <c:v>231.78465826096541</c:v>
                </c:pt>
                <c:pt idx="45">
                  <c:v>232.91205642891671</c:v>
                </c:pt>
                <c:pt idx="46">
                  <c:v>233.98125831751088</c:v>
                </c:pt>
                <c:pt idx="47">
                  <c:v>234.99526801796193</c:v>
                </c:pt>
                <c:pt idx="48">
                  <c:v>235.95693455033287</c:v>
                </c:pt>
                <c:pt idx="49">
                  <c:v>236.86895986830663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AF-43D7-9907-DFFF182FB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403904"/>
        <c:axId val="396404464"/>
      </c:lineChart>
      <c:catAx>
        <c:axId val="39640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04464"/>
        <c:crosses val="autoZero"/>
        <c:auto val="1"/>
        <c:lblAlgn val="ctr"/>
        <c:lblOffset val="100"/>
        <c:noMultiLvlLbl val="0"/>
      </c:catAx>
      <c:valAx>
        <c:axId val="396404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0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0</xdr:row>
      <xdr:rowOff>180974</xdr:rowOff>
    </xdr:from>
    <xdr:to>
      <xdr:col>13</xdr:col>
      <xdr:colOff>438150</xdr:colOff>
      <xdr:row>17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4018A2-0798-46D7-AD31-EDA159252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276225</xdr:colOff>
      <xdr:row>19</xdr:row>
      <xdr:rowOff>57150</xdr:rowOff>
    </xdr:from>
    <xdr:to>
      <xdr:col>13</xdr:col>
      <xdr:colOff>200025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C7045E-1538-459E-8A4C-3FB51E2AC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419100</xdr:colOff>
      <xdr:row>2</xdr:row>
      <xdr:rowOff>14287</xdr:rowOff>
    </xdr:from>
    <xdr:to>
      <xdr:col>27</xdr:col>
      <xdr:colOff>114300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514350</xdr:colOff>
      <xdr:row>15</xdr:row>
      <xdr:rowOff>180975</xdr:rowOff>
    </xdr:from>
    <xdr:to>
      <xdr:col>13</xdr:col>
      <xdr:colOff>85725</xdr:colOff>
      <xdr:row>30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C6C3EF-5984-47F2-B1A4-4F752E030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3</xdr:row>
      <xdr:rowOff>71437</xdr:rowOff>
    </xdr:from>
    <xdr:to>
      <xdr:col>18</xdr:col>
      <xdr:colOff>180975</xdr:colOff>
      <xdr:row>17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28</xdr:row>
      <xdr:rowOff>114300</xdr:rowOff>
    </xdr:from>
    <xdr:to>
      <xdr:col>11</xdr:col>
      <xdr:colOff>523875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168A4E-5A6F-4259-9D0A-579312392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1738312</xdr:colOff>
      <xdr:row>14</xdr:row>
      <xdr:rowOff>19050</xdr:rowOff>
    </xdr:from>
    <xdr:to>
      <xdr:col>6</xdr:col>
      <xdr:colOff>376237</xdr:colOff>
      <xdr:row>28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abSelected="1" zoomScaleNormal="100" workbookViewId="0">
      <selection activeCell="J42" sqref="J42"/>
    </sheetView>
  </sheetViews>
  <sheetFormatPr defaultRowHeight="15" x14ac:dyDescent="0.25"/>
  <sheetData>
    <row r="1" spans="1:5" x14ac:dyDescent="0.25">
      <c r="B1" s="3" t="s">
        <v>6</v>
      </c>
      <c r="C1" s="3" t="s">
        <v>7</v>
      </c>
      <c r="D1" s="3" t="s">
        <v>8</v>
      </c>
      <c r="E1" s="3" t="s">
        <v>9</v>
      </c>
    </row>
    <row r="2" spans="1:5" x14ac:dyDescent="0.25">
      <c r="A2">
        <v>50</v>
      </c>
      <c r="B2">
        <v>0</v>
      </c>
      <c r="C2">
        <v>1</v>
      </c>
      <c r="D2">
        <v>0</v>
      </c>
      <c r="E2">
        <f>SUM(B2:D2)</f>
        <v>1</v>
      </c>
    </row>
    <row r="3" spans="1:5" x14ac:dyDescent="0.25">
      <c r="A3">
        <v>55</v>
      </c>
      <c r="B3">
        <v>3</v>
      </c>
      <c r="C3">
        <v>4</v>
      </c>
      <c r="D3">
        <v>2</v>
      </c>
      <c r="E3">
        <f t="shared" ref="E3:E35" si="0">SUM(B3:D3)</f>
        <v>9</v>
      </c>
    </row>
    <row r="4" spans="1:5" x14ac:dyDescent="0.25">
      <c r="A4">
        <v>60</v>
      </c>
      <c r="B4">
        <v>13</v>
      </c>
      <c r="C4">
        <v>13</v>
      </c>
      <c r="D4">
        <v>1</v>
      </c>
      <c r="E4">
        <f t="shared" si="0"/>
        <v>27</v>
      </c>
    </row>
    <row r="5" spans="1:5" x14ac:dyDescent="0.25">
      <c r="A5">
        <v>65</v>
      </c>
      <c r="B5">
        <v>20</v>
      </c>
      <c r="C5">
        <v>19</v>
      </c>
      <c r="D5">
        <v>5</v>
      </c>
      <c r="E5">
        <f t="shared" si="0"/>
        <v>44</v>
      </c>
    </row>
    <row r="6" spans="1:5" x14ac:dyDescent="0.25">
      <c r="A6">
        <v>70</v>
      </c>
      <c r="B6">
        <v>24</v>
      </c>
      <c r="C6">
        <v>31</v>
      </c>
      <c r="D6">
        <v>7</v>
      </c>
      <c r="E6">
        <f t="shared" si="0"/>
        <v>62</v>
      </c>
    </row>
    <row r="7" spans="1:5" x14ac:dyDescent="0.25">
      <c r="A7">
        <v>75</v>
      </c>
      <c r="B7">
        <v>41</v>
      </c>
      <c r="C7">
        <v>48</v>
      </c>
      <c r="D7">
        <v>13</v>
      </c>
      <c r="E7">
        <f t="shared" si="0"/>
        <v>102</v>
      </c>
    </row>
    <row r="8" spans="1:5" x14ac:dyDescent="0.25">
      <c r="A8">
        <v>80</v>
      </c>
      <c r="B8">
        <v>51</v>
      </c>
      <c r="C8">
        <v>59</v>
      </c>
      <c r="D8">
        <v>24</v>
      </c>
      <c r="E8">
        <f t="shared" si="0"/>
        <v>134</v>
      </c>
    </row>
    <row r="9" spans="1:5" x14ac:dyDescent="0.25">
      <c r="A9">
        <v>85</v>
      </c>
      <c r="B9">
        <v>39</v>
      </c>
      <c r="C9">
        <v>48</v>
      </c>
      <c r="D9">
        <v>23</v>
      </c>
      <c r="E9">
        <f t="shared" si="0"/>
        <v>110</v>
      </c>
    </row>
    <row r="10" spans="1:5" x14ac:dyDescent="0.25">
      <c r="A10">
        <v>90</v>
      </c>
      <c r="B10">
        <v>22</v>
      </c>
      <c r="C10">
        <v>29</v>
      </c>
      <c r="D10">
        <v>30</v>
      </c>
      <c r="E10">
        <f t="shared" si="0"/>
        <v>81</v>
      </c>
    </row>
    <row r="11" spans="1:5" x14ac:dyDescent="0.25">
      <c r="A11">
        <v>95</v>
      </c>
      <c r="B11">
        <v>14</v>
      </c>
      <c r="C11">
        <v>20</v>
      </c>
      <c r="D11">
        <v>26</v>
      </c>
      <c r="E11">
        <f t="shared" si="0"/>
        <v>60</v>
      </c>
    </row>
    <row r="12" spans="1:5" x14ac:dyDescent="0.25">
      <c r="A12">
        <v>100</v>
      </c>
      <c r="B12">
        <v>12</v>
      </c>
      <c r="C12">
        <v>19</v>
      </c>
      <c r="D12">
        <v>30</v>
      </c>
      <c r="E12">
        <f t="shared" si="0"/>
        <v>61</v>
      </c>
    </row>
    <row r="13" spans="1:5" x14ac:dyDescent="0.25">
      <c r="A13">
        <v>105</v>
      </c>
      <c r="B13">
        <v>11</v>
      </c>
      <c r="C13">
        <v>23</v>
      </c>
      <c r="D13">
        <v>17</v>
      </c>
      <c r="E13">
        <f t="shared" si="0"/>
        <v>51</v>
      </c>
    </row>
    <row r="14" spans="1:5" x14ac:dyDescent="0.25">
      <c r="A14">
        <v>110</v>
      </c>
      <c r="B14">
        <v>4</v>
      </c>
      <c r="C14">
        <v>12</v>
      </c>
      <c r="D14">
        <v>22</v>
      </c>
      <c r="E14">
        <f t="shared" si="0"/>
        <v>38</v>
      </c>
    </row>
    <row r="15" spans="1:5" x14ac:dyDescent="0.25">
      <c r="A15">
        <v>115</v>
      </c>
      <c r="B15">
        <v>6</v>
      </c>
      <c r="C15">
        <v>4</v>
      </c>
      <c r="D15">
        <v>12</v>
      </c>
      <c r="E15">
        <f t="shared" si="0"/>
        <v>22</v>
      </c>
    </row>
    <row r="16" spans="1:5" x14ac:dyDescent="0.25">
      <c r="A16">
        <v>120</v>
      </c>
      <c r="B16">
        <v>3</v>
      </c>
      <c r="C16">
        <v>7</v>
      </c>
      <c r="D16">
        <v>15</v>
      </c>
      <c r="E16">
        <f t="shared" si="0"/>
        <v>25</v>
      </c>
    </row>
    <row r="17" spans="1:5" x14ac:dyDescent="0.25">
      <c r="A17">
        <v>125</v>
      </c>
      <c r="B17">
        <v>6</v>
      </c>
      <c r="C17">
        <v>3</v>
      </c>
      <c r="D17">
        <v>10</v>
      </c>
      <c r="E17">
        <f t="shared" si="0"/>
        <v>19</v>
      </c>
    </row>
    <row r="18" spans="1:5" x14ac:dyDescent="0.25">
      <c r="A18">
        <v>130</v>
      </c>
      <c r="B18">
        <v>2</v>
      </c>
      <c r="C18">
        <v>7</v>
      </c>
      <c r="D18">
        <v>12</v>
      </c>
      <c r="E18">
        <f t="shared" si="0"/>
        <v>21</v>
      </c>
    </row>
    <row r="19" spans="1:5" x14ac:dyDescent="0.25">
      <c r="A19">
        <v>135</v>
      </c>
      <c r="B19">
        <v>1</v>
      </c>
      <c r="C19">
        <v>5</v>
      </c>
      <c r="D19">
        <v>10</v>
      </c>
      <c r="E19">
        <f t="shared" si="0"/>
        <v>16</v>
      </c>
    </row>
    <row r="20" spans="1:5" x14ac:dyDescent="0.25">
      <c r="A20">
        <v>140</v>
      </c>
      <c r="B20">
        <v>6</v>
      </c>
      <c r="C20">
        <v>6</v>
      </c>
      <c r="D20">
        <v>10</v>
      </c>
      <c r="E20">
        <f t="shared" si="0"/>
        <v>22</v>
      </c>
    </row>
    <row r="21" spans="1:5" x14ac:dyDescent="0.25">
      <c r="A21">
        <v>145</v>
      </c>
      <c r="B21">
        <v>3</v>
      </c>
      <c r="C21">
        <v>9</v>
      </c>
      <c r="D21">
        <v>9</v>
      </c>
      <c r="E21">
        <f t="shared" si="0"/>
        <v>21</v>
      </c>
    </row>
    <row r="22" spans="1:5" x14ac:dyDescent="0.25">
      <c r="A22">
        <v>150</v>
      </c>
      <c r="B22">
        <v>2</v>
      </c>
      <c r="C22">
        <v>3</v>
      </c>
      <c r="D22">
        <v>8</v>
      </c>
      <c r="E22">
        <f t="shared" si="0"/>
        <v>13</v>
      </c>
    </row>
    <row r="23" spans="1:5" x14ac:dyDescent="0.25">
      <c r="A23">
        <v>155</v>
      </c>
      <c r="B23">
        <v>1</v>
      </c>
      <c r="C23">
        <v>2</v>
      </c>
      <c r="D23">
        <v>5</v>
      </c>
      <c r="E23">
        <f t="shared" si="0"/>
        <v>8</v>
      </c>
    </row>
    <row r="24" spans="1:5" x14ac:dyDescent="0.25">
      <c r="A24">
        <v>160</v>
      </c>
      <c r="B24">
        <v>1</v>
      </c>
      <c r="C24">
        <v>1</v>
      </c>
      <c r="D24">
        <v>5</v>
      </c>
      <c r="E24">
        <f t="shared" si="0"/>
        <v>7</v>
      </c>
    </row>
    <row r="25" spans="1:5" x14ac:dyDescent="0.25">
      <c r="A25">
        <v>165</v>
      </c>
      <c r="B25">
        <v>1</v>
      </c>
      <c r="C25">
        <v>4</v>
      </c>
      <c r="D25">
        <v>3</v>
      </c>
      <c r="E25">
        <f t="shared" si="0"/>
        <v>8</v>
      </c>
    </row>
    <row r="26" spans="1:5" x14ac:dyDescent="0.25">
      <c r="A26">
        <v>170</v>
      </c>
      <c r="B26">
        <v>1</v>
      </c>
      <c r="C26">
        <v>0</v>
      </c>
      <c r="D26">
        <v>6</v>
      </c>
      <c r="E26">
        <f t="shared" si="0"/>
        <v>7</v>
      </c>
    </row>
    <row r="27" spans="1:5" x14ac:dyDescent="0.25">
      <c r="A27">
        <v>175</v>
      </c>
      <c r="B27">
        <v>0</v>
      </c>
      <c r="C27">
        <v>2</v>
      </c>
      <c r="D27">
        <v>5</v>
      </c>
      <c r="E27">
        <f t="shared" si="0"/>
        <v>7</v>
      </c>
    </row>
    <row r="28" spans="1:5" x14ac:dyDescent="0.25">
      <c r="A28">
        <v>180</v>
      </c>
      <c r="B28">
        <v>1</v>
      </c>
      <c r="C28">
        <v>3</v>
      </c>
      <c r="D28">
        <v>1</v>
      </c>
      <c r="E28">
        <f t="shared" si="0"/>
        <v>5</v>
      </c>
    </row>
    <row r="29" spans="1:5" x14ac:dyDescent="0.25">
      <c r="A29">
        <v>185</v>
      </c>
      <c r="B29">
        <v>0</v>
      </c>
      <c r="C29">
        <v>0</v>
      </c>
      <c r="D29">
        <v>0</v>
      </c>
      <c r="E29">
        <f t="shared" si="0"/>
        <v>0</v>
      </c>
    </row>
    <row r="30" spans="1:5" x14ac:dyDescent="0.25">
      <c r="A30">
        <v>190</v>
      </c>
      <c r="B30">
        <v>0</v>
      </c>
      <c r="C30">
        <v>1</v>
      </c>
      <c r="D30">
        <v>0</v>
      </c>
      <c r="E30">
        <f t="shared" si="0"/>
        <v>1</v>
      </c>
    </row>
    <row r="31" spans="1:5" x14ac:dyDescent="0.25">
      <c r="A31">
        <v>195</v>
      </c>
      <c r="B31">
        <v>0</v>
      </c>
      <c r="C31">
        <v>0</v>
      </c>
      <c r="D31">
        <v>0</v>
      </c>
      <c r="E31">
        <f t="shared" si="0"/>
        <v>0</v>
      </c>
    </row>
    <row r="32" spans="1:5" x14ac:dyDescent="0.25">
      <c r="A32">
        <v>200</v>
      </c>
      <c r="B32">
        <v>1</v>
      </c>
      <c r="C32">
        <v>0</v>
      </c>
      <c r="D32">
        <v>1</v>
      </c>
      <c r="E32">
        <f t="shared" si="0"/>
        <v>2</v>
      </c>
    </row>
    <row r="33" spans="1:5" x14ac:dyDescent="0.25">
      <c r="A33">
        <v>205</v>
      </c>
      <c r="B33">
        <v>0</v>
      </c>
      <c r="C33">
        <v>0</v>
      </c>
      <c r="D33">
        <v>0</v>
      </c>
      <c r="E33">
        <f t="shared" si="0"/>
        <v>0</v>
      </c>
    </row>
    <row r="34" spans="1:5" x14ac:dyDescent="0.25">
      <c r="A34">
        <v>210</v>
      </c>
      <c r="B34">
        <v>0</v>
      </c>
      <c r="C34">
        <v>0</v>
      </c>
      <c r="D34">
        <v>0</v>
      </c>
      <c r="E34">
        <f t="shared" si="0"/>
        <v>0</v>
      </c>
    </row>
    <row r="35" spans="1:5" x14ac:dyDescent="0.25">
      <c r="A35">
        <v>215</v>
      </c>
      <c r="B35">
        <v>0</v>
      </c>
      <c r="C35">
        <v>0</v>
      </c>
      <c r="D35">
        <v>1</v>
      </c>
      <c r="E35">
        <f t="shared" si="0"/>
        <v>1</v>
      </c>
    </row>
  </sheetData>
  <pageMargins left="0.7" right="0.7" top="0.75" bottom="0.75" header="0.3" footer="0.3"/>
  <pageSetup orientation="portrait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2C09231A-3743-4D5C-B1BA-CA004F65773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FL!E2:E35</xm:f>
              <xm:sqref>E36</xm:sqref>
            </x14:sparkline>
          </x14:sparklines>
        </x14:sparklineGroup>
      </x14:sparklineGroup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4"/>
  <sheetViews>
    <sheetView workbookViewId="0">
      <selection activeCell="I17" sqref="I17"/>
    </sheetView>
  </sheetViews>
  <sheetFormatPr defaultRowHeight="15" x14ac:dyDescent="0.25"/>
  <sheetData>
    <row r="1" spans="1:3" x14ac:dyDescent="0.25">
      <c r="B1" t="s">
        <v>90</v>
      </c>
      <c r="C1" t="s">
        <v>91</v>
      </c>
    </row>
    <row r="2" spans="1:3" x14ac:dyDescent="0.25">
      <c r="A2">
        <v>25</v>
      </c>
    </row>
    <row r="3" spans="1:3" x14ac:dyDescent="0.25">
      <c r="A3">
        <v>15</v>
      </c>
      <c r="B3">
        <v>0.97299999999999998</v>
      </c>
    </row>
    <row r="4" spans="1:3" x14ac:dyDescent="0.25">
      <c r="A4">
        <v>14</v>
      </c>
      <c r="B4">
        <v>0.97254524740798398</v>
      </c>
      <c r="C4">
        <f>B3-B4</f>
        <v>4.5475259201599449E-4</v>
      </c>
    </row>
    <row r="5" spans="1:3" x14ac:dyDescent="0.25">
      <c r="A5">
        <v>13</v>
      </c>
      <c r="B5">
        <v>0.96739646483144703</v>
      </c>
      <c r="C5">
        <f>B4-B5</f>
        <v>5.1487825765369477E-3</v>
      </c>
    </row>
    <row r="6" spans="1:3" x14ac:dyDescent="0.25">
      <c r="A6">
        <v>12</v>
      </c>
      <c r="B6">
        <v>0.96679575577048604</v>
      </c>
      <c r="C6">
        <f t="shared" ref="C6:C13" si="0">B5-B6</f>
        <v>6.0070906096099108E-4</v>
      </c>
    </row>
    <row r="7" spans="1:3" x14ac:dyDescent="0.25">
      <c r="A7">
        <v>10</v>
      </c>
      <c r="B7">
        <v>0.95355898582751597</v>
      </c>
      <c r="C7">
        <f t="shared" si="0"/>
        <v>1.3236769942970072E-2</v>
      </c>
    </row>
    <row r="8" spans="1:3" x14ac:dyDescent="0.25">
      <c r="A8">
        <v>11</v>
      </c>
      <c r="B8">
        <v>0.95355898582751597</v>
      </c>
      <c r="C8">
        <f t="shared" si="0"/>
        <v>0</v>
      </c>
    </row>
    <row r="9" spans="1:3" x14ac:dyDescent="0.25">
      <c r="A9">
        <v>9</v>
      </c>
      <c r="B9">
        <v>0.95062162595297806</v>
      </c>
      <c r="C9">
        <f t="shared" si="0"/>
        <v>2.9373598745379148E-3</v>
      </c>
    </row>
    <row r="10" spans="1:3" x14ac:dyDescent="0.25">
      <c r="A10">
        <v>8</v>
      </c>
      <c r="B10">
        <v>0.94352962799999995</v>
      </c>
      <c r="C10">
        <f t="shared" si="0"/>
        <v>7.0919979529781019E-3</v>
      </c>
    </row>
    <row r="11" spans="1:3" x14ac:dyDescent="0.25">
      <c r="A11">
        <v>7</v>
      </c>
      <c r="B11">
        <v>0.936946575</v>
      </c>
      <c r="C11">
        <f t="shared" si="0"/>
        <v>6.5830529999999499E-3</v>
      </c>
    </row>
    <row r="12" spans="1:3" x14ac:dyDescent="0.25">
      <c r="A12">
        <v>6</v>
      </c>
      <c r="B12">
        <v>0.92919179699999999</v>
      </c>
      <c r="C12">
        <f t="shared" si="0"/>
        <v>7.7547780000000177E-3</v>
      </c>
    </row>
    <row r="13" spans="1:3" x14ac:dyDescent="0.25">
      <c r="A13">
        <v>5</v>
      </c>
      <c r="B13">
        <v>0.91738736099755902</v>
      </c>
      <c r="C13">
        <f t="shared" si="0"/>
        <v>1.1804436002440966E-2</v>
      </c>
    </row>
    <row r="14" spans="1:3" x14ac:dyDescent="0.25">
      <c r="C14">
        <f>AVERAGE(C4:C13)</f>
        <v>5.5612639002440957E-3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C3E41-CAAC-424D-98BF-AB4BACD907F3}">
  <dimension ref="A1:O32"/>
  <sheetViews>
    <sheetView workbookViewId="0">
      <selection activeCell="F12" sqref="F12"/>
    </sheetView>
  </sheetViews>
  <sheetFormatPr defaultRowHeight="15" x14ac:dyDescent="0.25"/>
  <cols>
    <col min="3" max="3" width="10.5703125" bestFit="1" customWidth="1"/>
    <col min="4" max="4" width="20.42578125" bestFit="1" customWidth="1"/>
    <col min="5" max="5" width="11.85546875" bestFit="1" customWidth="1"/>
    <col min="9" max="9" width="12" bestFit="1" customWidth="1"/>
    <col min="10" max="10" width="19.140625" bestFit="1" customWidth="1"/>
    <col min="11" max="11" width="20.5703125" bestFit="1" customWidth="1"/>
    <col min="12" max="12" width="31.85546875" bestFit="1" customWidth="1"/>
    <col min="13" max="13" width="20.140625" bestFit="1" customWidth="1"/>
  </cols>
  <sheetData>
    <row r="1" spans="1:13" x14ac:dyDescent="0.25">
      <c r="A1" t="s">
        <v>44</v>
      </c>
    </row>
    <row r="2" spans="1:13" x14ac:dyDescent="0.25">
      <c r="A2" t="s">
        <v>45</v>
      </c>
    </row>
    <row r="3" spans="1:13" x14ac:dyDescent="0.25">
      <c r="A3" s="4" t="s">
        <v>10</v>
      </c>
      <c r="B3" s="4" t="s">
        <v>46</v>
      </c>
      <c r="C3" s="4" t="s">
        <v>47</v>
      </c>
      <c r="D3" s="4" t="s">
        <v>48</v>
      </c>
      <c r="E3" s="4" t="s">
        <v>49</v>
      </c>
      <c r="F3" s="4" t="s">
        <v>50</v>
      </c>
      <c r="G3" s="4" t="s">
        <v>51</v>
      </c>
      <c r="H3" s="4" t="s">
        <v>52</v>
      </c>
      <c r="J3" s="5" t="s">
        <v>55</v>
      </c>
      <c r="K3" s="5" t="s">
        <v>54</v>
      </c>
      <c r="L3" s="5" t="s">
        <v>56</v>
      </c>
      <c r="M3" s="5" t="s">
        <v>57</v>
      </c>
    </row>
    <row r="4" spans="1:13" x14ac:dyDescent="0.25">
      <c r="A4" s="23">
        <v>0</v>
      </c>
      <c r="B4" s="22"/>
      <c r="C4" s="22"/>
      <c r="F4" s="22"/>
      <c r="G4" s="22"/>
      <c r="H4" s="22"/>
      <c r="J4" s="5">
        <v>0</v>
      </c>
      <c r="K4">
        <v>0</v>
      </c>
      <c r="L4">
        <v>0</v>
      </c>
    </row>
    <row r="5" spans="1:13" x14ac:dyDescent="0.25">
      <c r="A5" s="24">
        <v>1</v>
      </c>
      <c r="J5">
        <v>0</v>
      </c>
      <c r="K5">
        <v>0</v>
      </c>
      <c r="L5">
        <v>0</v>
      </c>
    </row>
    <row r="6" spans="1:13" x14ac:dyDescent="0.25">
      <c r="A6" s="24">
        <v>2</v>
      </c>
      <c r="J6">
        <v>0</v>
      </c>
      <c r="K6">
        <v>0</v>
      </c>
      <c r="L6">
        <v>0</v>
      </c>
    </row>
    <row r="7" spans="1:13" x14ac:dyDescent="0.25">
      <c r="A7" s="24">
        <v>3</v>
      </c>
      <c r="B7" s="1">
        <v>45.234346475995807</v>
      </c>
      <c r="C7">
        <f>B7/1423</f>
        <v>3.1788015794796773E-2</v>
      </c>
      <c r="D7">
        <f>$D$31*C7</f>
        <v>1525.8247581502451</v>
      </c>
      <c r="E7" s="21">
        <f>D7*$D$32</f>
        <v>762.91237907512254</v>
      </c>
      <c r="F7">
        <v>63.090909090909101</v>
      </c>
      <c r="G7">
        <v>5.2759100895226902</v>
      </c>
      <c r="H7">
        <v>0.91841806141712501</v>
      </c>
      <c r="I7">
        <f t="shared" ref="I7:I23" si="0">LN(B7)</f>
        <v>3.8118566760647488</v>
      </c>
      <c r="J7">
        <v>0</v>
      </c>
      <c r="K7">
        <v>0</v>
      </c>
      <c r="L7">
        <v>0</v>
      </c>
    </row>
    <row r="8" spans="1:13" x14ac:dyDescent="0.25">
      <c r="A8" s="24">
        <v>4</v>
      </c>
      <c r="B8" s="1">
        <v>52.94524468309092</v>
      </c>
      <c r="C8">
        <f t="shared" ref="C8:C23" si="1">B8/1423</f>
        <v>3.7206777711237468E-2</v>
      </c>
      <c r="D8">
        <f t="shared" ref="D8:D23" si="2">$D$31*C8</f>
        <v>1785.9253301393985</v>
      </c>
      <c r="E8" s="21">
        <f t="shared" ref="E8:E23" si="3">D8*$D$32</f>
        <v>892.96266506969926</v>
      </c>
      <c r="F8">
        <v>65.236842105263193</v>
      </c>
      <c r="G8">
        <v>4.6115847690900704</v>
      </c>
      <c r="H8">
        <v>0.74809783490677095</v>
      </c>
      <c r="I8">
        <f t="shared" si="0"/>
        <v>3.9692582603296844</v>
      </c>
      <c r="J8">
        <v>0</v>
      </c>
      <c r="K8">
        <v>0</v>
      </c>
      <c r="L8">
        <v>0</v>
      </c>
    </row>
    <row r="9" spans="1:13" x14ac:dyDescent="0.25">
      <c r="A9" s="24">
        <v>5</v>
      </c>
      <c r="B9" s="1">
        <v>127.90839729601674</v>
      </c>
      <c r="C9">
        <f t="shared" si="1"/>
        <v>8.9886435204509313E-2</v>
      </c>
      <c r="D9">
        <f t="shared" si="2"/>
        <v>4314.5488898164467</v>
      </c>
      <c r="E9" s="21">
        <f t="shared" si="3"/>
        <v>2157.2744449082234</v>
      </c>
      <c r="F9">
        <v>76.8</v>
      </c>
      <c r="G9">
        <v>8.1168678875412006</v>
      </c>
      <c r="H9">
        <v>0.90749341804636197</v>
      </c>
      <c r="I9">
        <f t="shared" si="0"/>
        <v>4.8513143615978214</v>
      </c>
      <c r="J9">
        <v>0</v>
      </c>
      <c r="K9">
        <v>0</v>
      </c>
      <c r="L9">
        <v>0</v>
      </c>
    </row>
    <row r="10" spans="1:13" x14ac:dyDescent="0.25">
      <c r="A10" s="24">
        <v>6</v>
      </c>
      <c r="B10" s="1">
        <v>121.55487579752611</v>
      </c>
      <c r="C10">
        <f t="shared" si="1"/>
        <v>8.542155713107949E-2</v>
      </c>
      <c r="D10">
        <f t="shared" si="2"/>
        <v>4100.2347422918156</v>
      </c>
      <c r="E10" s="21">
        <f t="shared" si="3"/>
        <v>2050.1173711459078</v>
      </c>
      <c r="F10">
        <v>77.567567567567593</v>
      </c>
      <c r="G10">
        <v>5.7645020625795604</v>
      </c>
      <c r="H10">
        <v>0.54714232242291605</v>
      </c>
      <c r="I10">
        <f t="shared" si="0"/>
        <v>4.800365813470779</v>
      </c>
      <c r="J10">
        <v>0</v>
      </c>
      <c r="K10">
        <v>0</v>
      </c>
      <c r="L10">
        <v>0</v>
      </c>
    </row>
    <row r="11" spans="1:13" x14ac:dyDescent="0.25">
      <c r="A11" s="24">
        <v>7</v>
      </c>
      <c r="B11" s="1">
        <v>164.18785022379444</v>
      </c>
      <c r="C11">
        <f t="shared" si="1"/>
        <v>0.11538148294012258</v>
      </c>
      <c r="D11">
        <f t="shared" si="2"/>
        <v>5538.3111811258841</v>
      </c>
      <c r="E11" s="21">
        <f t="shared" si="3"/>
        <v>2769.1555905629421</v>
      </c>
      <c r="F11">
        <v>84.170886075949397</v>
      </c>
      <c r="G11">
        <v>7.1838398244867196</v>
      </c>
      <c r="H11">
        <v>0.57151561007220997</v>
      </c>
      <c r="I11">
        <f t="shared" si="0"/>
        <v>5.1010112005156998</v>
      </c>
      <c r="J11">
        <v>0</v>
      </c>
      <c r="K11">
        <v>0</v>
      </c>
      <c r="L11">
        <v>0</v>
      </c>
    </row>
    <row r="12" spans="1:13" x14ac:dyDescent="0.25">
      <c r="A12" s="24">
        <v>8</v>
      </c>
      <c r="B12" s="1">
        <v>181.24054634709572</v>
      </c>
      <c r="C12">
        <f t="shared" si="1"/>
        <v>0.12736510635776227</v>
      </c>
      <c r="D12">
        <f t="shared" si="2"/>
        <v>6113.5251051725891</v>
      </c>
      <c r="E12" s="21">
        <f t="shared" si="3"/>
        <v>3056.7625525862945</v>
      </c>
      <c r="F12">
        <v>89.988826815642497</v>
      </c>
      <c r="G12">
        <v>9.0348817336890903</v>
      </c>
      <c r="H12">
        <v>0.67529876666226796</v>
      </c>
      <c r="I12">
        <f t="shared" si="0"/>
        <v>5.1998251342895152</v>
      </c>
      <c r="J12">
        <v>0</v>
      </c>
      <c r="K12">
        <v>0</v>
      </c>
      <c r="L12">
        <v>0</v>
      </c>
    </row>
    <row r="13" spans="1:13" x14ac:dyDescent="0.25">
      <c r="A13" s="24">
        <v>9</v>
      </c>
      <c r="B13" s="1">
        <v>136.04174810406118</v>
      </c>
      <c r="C13">
        <f t="shared" si="1"/>
        <v>9.5602071752678278E-2</v>
      </c>
      <c r="D13">
        <f t="shared" si="2"/>
        <v>4588.8994441285577</v>
      </c>
      <c r="E13" s="21">
        <f t="shared" si="3"/>
        <v>2294.4497220642788</v>
      </c>
      <c r="F13">
        <v>99.477272727272705</v>
      </c>
      <c r="G13">
        <v>10.1466091873782</v>
      </c>
      <c r="H13">
        <v>0.88314897161867401</v>
      </c>
      <c r="I13">
        <f t="shared" si="0"/>
        <v>4.9129618099833774</v>
      </c>
      <c r="J13">
        <v>0</v>
      </c>
      <c r="K13">
        <v>0</v>
      </c>
      <c r="L13">
        <v>0</v>
      </c>
    </row>
    <row r="14" spans="1:13" x14ac:dyDescent="0.25">
      <c r="A14" s="24">
        <v>10</v>
      </c>
      <c r="B14" s="1">
        <v>71.529747551702897</v>
      </c>
      <c r="C14">
        <f t="shared" si="1"/>
        <v>5.0266864056010468E-2</v>
      </c>
      <c r="D14">
        <f t="shared" si="2"/>
        <v>2412.8094746885026</v>
      </c>
      <c r="E14" s="21">
        <f t="shared" si="3"/>
        <v>1206.4047373442513</v>
      </c>
      <c r="F14">
        <v>102.191176470588</v>
      </c>
      <c r="G14">
        <v>9.5233528413856305</v>
      </c>
      <c r="H14">
        <v>1.1548761669134999</v>
      </c>
      <c r="I14">
        <f t="shared" si="0"/>
        <v>4.2701134128494607</v>
      </c>
      <c r="J14" s="42">
        <f>0.072*(F14^2.94)</f>
        <v>58211.379237938447</v>
      </c>
      <c r="K14">
        <f>J14*E14</f>
        <v>70226483.679991737</v>
      </c>
      <c r="L14">
        <v>3.7499999999999999E-3</v>
      </c>
      <c r="M14" s="42">
        <f>K14*L14</f>
        <v>263349.31379996898</v>
      </c>
    </row>
    <row r="15" spans="1:13" x14ac:dyDescent="0.25">
      <c r="A15" s="24">
        <v>11</v>
      </c>
      <c r="B15" s="1">
        <v>52.498104806079297</v>
      </c>
      <c r="C15">
        <f t="shared" si="1"/>
        <v>3.6892554326127404E-2</v>
      </c>
      <c r="D15">
        <f t="shared" si="2"/>
        <v>1770.8426076541155</v>
      </c>
      <c r="E15" s="21">
        <f t="shared" si="3"/>
        <v>885.42130382705773</v>
      </c>
      <c r="F15">
        <v>117.065217391304</v>
      </c>
      <c r="G15">
        <v>6.5909101509850299</v>
      </c>
      <c r="H15">
        <v>0.97177668550240104</v>
      </c>
      <c r="I15">
        <f t="shared" si="0"/>
        <v>3.9607770700141729</v>
      </c>
      <c r="J15" s="42">
        <f t="shared" ref="J15:J23" si="4">0.072*(F15^2.94)</f>
        <v>86798.146588377494</v>
      </c>
      <c r="K15">
        <f t="shared" ref="K15:K24" si="5">J15*E15</f>
        <v>76852928.12205328</v>
      </c>
      <c r="L15">
        <v>1.29E-2</v>
      </c>
      <c r="M15" s="42">
        <f t="shared" ref="M15:M24" si="6">K15*L15</f>
        <v>991402.77277448727</v>
      </c>
    </row>
    <row r="16" spans="1:13" x14ac:dyDescent="0.25">
      <c r="A16" s="24">
        <v>12</v>
      </c>
      <c r="B16" s="1">
        <v>33.518025963344684</v>
      </c>
      <c r="C16">
        <f t="shared" si="1"/>
        <v>2.3554480648871879E-2</v>
      </c>
      <c r="D16">
        <f t="shared" si="2"/>
        <v>1130.6150711458502</v>
      </c>
      <c r="E16" s="21">
        <f t="shared" si="3"/>
        <v>565.30753557292508</v>
      </c>
      <c r="F16">
        <v>124.64</v>
      </c>
      <c r="G16">
        <v>8.2253672663697301</v>
      </c>
      <c r="H16">
        <v>1.6450734532739499</v>
      </c>
      <c r="I16">
        <f t="shared" si="0"/>
        <v>3.5120833825713884</v>
      </c>
      <c r="J16" s="42">
        <f t="shared" si="4"/>
        <v>104367.521728266</v>
      </c>
      <c r="K16">
        <f t="shared" si="5"/>
        <v>58999746.502059765</v>
      </c>
      <c r="L16">
        <v>2.145E-2</v>
      </c>
      <c r="M16" s="42">
        <f t="shared" si="6"/>
        <v>1265544.5624691821</v>
      </c>
    </row>
    <row r="17" spans="1:15" x14ac:dyDescent="0.25">
      <c r="A17" s="24">
        <v>13</v>
      </c>
      <c r="B17" s="1">
        <v>91.783536741072595</v>
      </c>
      <c r="C17">
        <f t="shared" si="1"/>
        <v>6.4500025819446652E-2</v>
      </c>
      <c r="D17">
        <f t="shared" si="2"/>
        <v>3096.0012393334391</v>
      </c>
      <c r="E17" s="21">
        <f t="shared" si="3"/>
        <v>1548.0006196667196</v>
      </c>
      <c r="F17">
        <v>136.791666666667</v>
      </c>
      <c r="G17">
        <v>8.8220187136730299</v>
      </c>
      <c r="H17">
        <v>1.2733487197837601</v>
      </c>
      <c r="I17">
        <f t="shared" si="0"/>
        <v>4.5194329432108606</v>
      </c>
      <c r="J17" s="42">
        <f t="shared" si="4"/>
        <v>137198.01911956465</v>
      </c>
      <c r="K17">
        <f t="shared" si="5"/>
        <v>212382618.61413252</v>
      </c>
      <c r="L17">
        <v>4.3650000000000001E-2</v>
      </c>
      <c r="M17" s="42">
        <f t="shared" si="6"/>
        <v>9270501.3025068846</v>
      </c>
    </row>
    <row r="18" spans="1:15" x14ac:dyDescent="0.25">
      <c r="A18" s="24">
        <v>14</v>
      </c>
      <c r="B18" s="1">
        <v>55.495248871636292</v>
      </c>
      <c r="C18">
        <f t="shared" si="1"/>
        <v>3.8998769410847713E-2</v>
      </c>
      <c r="D18">
        <f t="shared" si="2"/>
        <v>1871.9409317206903</v>
      </c>
      <c r="E18" s="21">
        <f t="shared" si="3"/>
        <v>935.97046586034514</v>
      </c>
      <c r="F18">
        <v>148.041666666667</v>
      </c>
      <c r="G18">
        <v>5.36071999274162</v>
      </c>
      <c r="H18">
        <v>1.09425238634611</v>
      </c>
      <c r="I18">
        <f t="shared" si="0"/>
        <v>4.0162974111715304</v>
      </c>
      <c r="J18" s="42">
        <f t="shared" si="4"/>
        <v>173085.76656329859</v>
      </c>
      <c r="K18">
        <f t="shared" si="5"/>
        <v>162003165.56404552</v>
      </c>
      <c r="L18">
        <v>8.14E-2</v>
      </c>
      <c r="M18" s="42">
        <f t="shared" si="6"/>
        <v>13187057.676913306</v>
      </c>
    </row>
    <row r="19" spans="1:15" x14ac:dyDescent="0.25">
      <c r="A19" s="24">
        <v>15</v>
      </c>
      <c r="B19" s="1">
        <v>105.01870244329911</v>
      </c>
      <c r="C19">
        <f t="shared" si="1"/>
        <v>7.3800915279900986E-2</v>
      </c>
      <c r="D19">
        <f t="shared" si="2"/>
        <v>3542.4439334352473</v>
      </c>
      <c r="E19" s="21">
        <f t="shared" si="3"/>
        <v>1771.2219667176237</v>
      </c>
      <c r="F19">
        <v>152.085714285714</v>
      </c>
      <c r="G19">
        <v>10.680855409044099</v>
      </c>
      <c r="H19">
        <v>1.8053940786187499</v>
      </c>
      <c r="I19">
        <f t="shared" si="0"/>
        <v>4.6541384528039158</v>
      </c>
      <c r="J19" s="42">
        <f t="shared" si="4"/>
        <v>187358.09267580224</v>
      </c>
      <c r="K19">
        <f t="shared" si="5"/>
        <v>331852769.38969725</v>
      </c>
      <c r="L19">
        <v>9.3299999999999994E-2</v>
      </c>
      <c r="M19" s="42">
        <f t="shared" si="6"/>
        <v>30961863.384058751</v>
      </c>
    </row>
    <row r="20" spans="1:15" x14ac:dyDescent="0.25">
      <c r="A20" s="24">
        <v>16</v>
      </c>
      <c r="B20" s="1">
        <v>7.0404626513018407</v>
      </c>
      <c r="C20">
        <f t="shared" si="1"/>
        <v>4.9476195722430363E-3</v>
      </c>
      <c r="D20">
        <f t="shared" si="2"/>
        <v>237.48573946766575</v>
      </c>
      <c r="E20" s="21">
        <f t="shared" si="3"/>
        <v>118.74286973383288</v>
      </c>
      <c r="F20">
        <v>167</v>
      </c>
      <c r="G20">
        <v>1.4142135623731</v>
      </c>
      <c r="H20">
        <v>1</v>
      </c>
      <c r="I20">
        <f t="shared" si="0"/>
        <v>1.9516738855251159</v>
      </c>
      <c r="J20" s="42">
        <f t="shared" si="4"/>
        <v>246671.46981340766</v>
      </c>
      <c r="K20">
        <f t="shared" si="5"/>
        <v>29290478.207106553</v>
      </c>
      <c r="L20">
        <v>0.1182</v>
      </c>
      <c r="M20" s="42">
        <f t="shared" si="6"/>
        <v>3462134.5240799948</v>
      </c>
    </row>
    <row r="21" spans="1:15" x14ac:dyDescent="0.25">
      <c r="A21" s="24">
        <v>17</v>
      </c>
      <c r="B21" s="1">
        <v>90.933596907243498</v>
      </c>
      <c r="C21">
        <f t="shared" si="1"/>
        <v>6.3902738515280041E-2</v>
      </c>
      <c r="D21">
        <f t="shared" si="2"/>
        <v>3067.3314487334419</v>
      </c>
      <c r="E21" s="21">
        <f t="shared" si="3"/>
        <v>1533.665724366721</v>
      </c>
      <c r="F21">
        <v>168.65</v>
      </c>
      <c r="G21">
        <v>8.0215171159890506</v>
      </c>
      <c r="H21">
        <v>1.79366575540296</v>
      </c>
      <c r="I21">
        <f t="shared" si="0"/>
        <v>4.5101295358370646</v>
      </c>
      <c r="J21" s="42">
        <f t="shared" si="4"/>
        <v>253905.64252649137</v>
      </c>
      <c r="K21">
        <f t="shared" si="5"/>
        <v>389406381.16618907</v>
      </c>
      <c r="L21">
        <v>0.12734999999999999</v>
      </c>
      <c r="M21" s="42">
        <f t="shared" si="6"/>
        <v>49590902.641514175</v>
      </c>
    </row>
    <row r="22" spans="1:15" x14ac:dyDescent="0.25">
      <c r="A22" s="24">
        <v>18</v>
      </c>
      <c r="B22" s="1">
        <v>20.663580577390778</v>
      </c>
      <c r="C22">
        <f t="shared" si="1"/>
        <v>1.4521138845671664E-2</v>
      </c>
      <c r="D22">
        <f t="shared" si="2"/>
        <v>697.01466459223991</v>
      </c>
      <c r="E22" s="21">
        <f t="shared" si="3"/>
        <v>348.50733229611996</v>
      </c>
      <c r="F22">
        <v>182.333333333333</v>
      </c>
      <c r="G22">
        <v>1.1547005383792499</v>
      </c>
      <c r="H22">
        <v>0.66666666666666696</v>
      </c>
      <c r="I22">
        <f t="shared" si="0"/>
        <v>3.0283727583261641</v>
      </c>
      <c r="J22" s="42">
        <f t="shared" si="4"/>
        <v>319358.69649172475</v>
      </c>
      <c r="K22">
        <f t="shared" si="5"/>
        <v>111298847.35989724</v>
      </c>
      <c r="L22">
        <v>0.14130000000000001</v>
      </c>
      <c r="M22" s="42">
        <f t="shared" si="6"/>
        <v>15726527.131953482</v>
      </c>
    </row>
    <row r="23" spans="1:15" x14ac:dyDescent="0.25">
      <c r="A23" s="24">
        <v>19</v>
      </c>
      <c r="B23" s="1">
        <v>65.641304874862698</v>
      </c>
      <c r="C23">
        <f t="shared" si="1"/>
        <v>4.6128815794000487E-2</v>
      </c>
      <c r="D23">
        <f t="shared" si="2"/>
        <v>2214.1831581120232</v>
      </c>
      <c r="E23" s="21">
        <f t="shared" si="3"/>
        <v>1107.0915790560116</v>
      </c>
      <c r="F23">
        <v>187.75</v>
      </c>
      <c r="G23">
        <v>10.965856099730701</v>
      </c>
      <c r="H23">
        <v>5.4829280498653299</v>
      </c>
      <c r="I23">
        <f t="shared" si="0"/>
        <v>4.1842051452879003</v>
      </c>
      <c r="J23" s="42">
        <f t="shared" si="4"/>
        <v>348062.7416236694</v>
      </c>
      <c r="K23">
        <f t="shared" si="5"/>
        <v>385337330.23471272</v>
      </c>
      <c r="L23">
        <v>0.1449</v>
      </c>
      <c r="M23" s="42">
        <f t="shared" si="6"/>
        <v>55835379.151009873</v>
      </c>
    </row>
    <row r="24" spans="1:15" x14ac:dyDescent="0.25">
      <c r="A24" s="24" t="s">
        <v>53</v>
      </c>
      <c r="B24" s="1"/>
      <c r="D24">
        <f>SUM(D5:D23)</f>
        <v>48007.937719708156</v>
      </c>
      <c r="E24">
        <v>617.65319999999997</v>
      </c>
      <c r="F24">
        <v>200</v>
      </c>
      <c r="J24">
        <f>0.072*(F24^2.94)</f>
        <v>419141.51968335209</v>
      </c>
      <c r="K24">
        <f t="shared" si="5"/>
        <v>258884100.88528538</v>
      </c>
      <c r="L24">
        <v>0.15</v>
      </c>
      <c r="M24" s="42">
        <f t="shared" si="6"/>
        <v>38832615.132792808</v>
      </c>
    </row>
    <row r="25" spans="1:15" x14ac:dyDescent="0.25">
      <c r="D25">
        <f>SUM(D24)</f>
        <v>48007.937719708156</v>
      </c>
      <c r="J25">
        <f>AVERAGE(J14:J24)</f>
        <v>212196.27236835388</v>
      </c>
      <c r="M25" s="43">
        <f>SUM(M14:M24)</f>
        <v>219387277.59387287</v>
      </c>
      <c r="N25">
        <f>M25*0.002</f>
        <v>438774.55518774578</v>
      </c>
      <c r="O25">
        <f>N25*0.25</f>
        <v>109693.63879693644</v>
      </c>
    </row>
    <row r="26" spans="1:15" x14ac:dyDescent="0.25">
      <c r="K26" s="42">
        <f>SUM(K14:K23)</f>
        <v>1827650748.8398857</v>
      </c>
      <c r="M26">
        <v>0</v>
      </c>
      <c r="N26">
        <v>1</v>
      </c>
      <c r="O26">
        <v>2</v>
      </c>
    </row>
    <row r="28" spans="1:15" x14ac:dyDescent="0.25">
      <c r="B28">
        <f>SUM(C7:C13)</f>
        <v>0.58265144689218618</v>
      </c>
      <c r="E28">
        <v>762</v>
      </c>
      <c r="F28">
        <f>E28/0.94</f>
        <v>810.63829787234044</v>
      </c>
      <c r="G28">
        <f>F28/0.25</f>
        <v>3242.5531914893618</v>
      </c>
      <c r="H28">
        <f>G28/0.002</f>
        <v>1621276.5957446808</v>
      </c>
      <c r="J28">
        <f>2/374</f>
        <v>5.3475935828877002E-3</v>
      </c>
    </row>
    <row r="31" spans="1:15" x14ac:dyDescent="0.25">
      <c r="C31" t="s">
        <v>96</v>
      </c>
      <c r="D31">
        <v>48000</v>
      </c>
    </row>
    <row r="32" spans="1:15" x14ac:dyDescent="0.25">
      <c r="C32" t="s">
        <v>97</v>
      </c>
      <c r="D32">
        <v>0.5</v>
      </c>
    </row>
  </sheetData>
  <pageMargins left="0.7" right="0.7" top="0.75" bottom="0.75" header="0.3" footer="0.3"/>
  <pageSetup orientation="portrait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66C1D4D0-0F4E-446F-8F87-F6770416317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'Abundance (2)'!B7:B23</xm:f>
              <xm:sqref>B25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6"/>
  <sheetViews>
    <sheetView topLeftCell="A10" workbookViewId="0">
      <selection activeCell="F25" sqref="F25"/>
    </sheetView>
  </sheetViews>
  <sheetFormatPr defaultRowHeight="15" x14ac:dyDescent="0.25"/>
  <cols>
    <col min="6" max="6" width="13.7109375" bestFit="1" customWidth="1"/>
    <col min="7" max="7" width="11.5703125" bestFit="1" customWidth="1"/>
    <col min="8" max="8" width="14.85546875" style="1" bestFit="1" customWidth="1"/>
    <col min="9" max="9" width="12" bestFit="1" customWidth="1"/>
  </cols>
  <sheetData>
    <row r="1" spans="1:18" x14ac:dyDescent="0.25">
      <c r="B1">
        <v>6</v>
      </c>
      <c r="C1">
        <v>7</v>
      </c>
      <c r="D1">
        <v>8</v>
      </c>
      <c r="E1" t="s">
        <v>0</v>
      </c>
      <c r="F1" t="s">
        <v>1</v>
      </c>
      <c r="G1" t="s">
        <v>2</v>
      </c>
      <c r="H1" s="1" t="s">
        <v>3</v>
      </c>
      <c r="I1" t="s">
        <v>4</v>
      </c>
    </row>
    <row r="2" spans="1:18" x14ac:dyDescent="0.25">
      <c r="A2">
        <v>50</v>
      </c>
      <c r="B2">
        <v>0.32291380200000003</v>
      </c>
      <c r="C2">
        <v>0.12816428699999999</v>
      </c>
      <c r="D2">
        <v>8.1411890000000001E-2</v>
      </c>
      <c r="E2">
        <f>SUM(B2:D2)</f>
        <v>0.53248997900000006</v>
      </c>
      <c r="F2">
        <f>E2/$E$36</f>
        <v>0.14529731084190906</v>
      </c>
      <c r="G2">
        <v>1</v>
      </c>
      <c r="H2" s="41">
        <f>G2/F2</f>
        <v>6.8824398346095439</v>
      </c>
      <c r="I2">
        <f>H2/$H$36</f>
        <v>3.6914450068059918E-3</v>
      </c>
      <c r="K2">
        <f>FL!B2/norm.loc!B2</f>
        <v>0</v>
      </c>
      <c r="L2">
        <f>FL!C2/norm.loc!C2</f>
        <v>7.8024855707268914</v>
      </c>
      <c r="M2">
        <f>FL!D2/norm.loc!D2</f>
        <v>0</v>
      </c>
      <c r="P2">
        <f>MAX(B2:D35)</f>
        <v>1.99842462</v>
      </c>
      <c r="R2">
        <f>B2/$P$2</f>
        <v>0.16158417924214727</v>
      </c>
    </row>
    <row r="3" spans="1:18" x14ac:dyDescent="0.25">
      <c r="A3">
        <v>55</v>
      </c>
      <c r="B3">
        <v>0.40315704699999999</v>
      </c>
      <c r="C3">
        <v>0.17359751200000001</v>
      </c>
      <c r="D3">
        <v>0.11925924</v>
      </c>
      <c r="E3">
        <f t="shared" ref="E3:E35" si="0">SUM(B3:D3)</f>
        <v>0.69601379900000004</v>
      </c>
      <c r="F3">
        <f t="shared" ref="F3:F35" si="1">E3/$E$36</f>
        <v>0.18991706377926221</v>
      </c>
      <c r="G3">
        <v>9</v>
      </c>
      <c r="H3" s="1">
        <f t="shared" ref="H3:H35" si="2">G3/F3</f>
        <v>47.389106702179049</v>
      </c>
      <c r="I3">
        <f t="shared" ref="I3:I35" si="3">H3/$H$36</f>
        <v>2.5417480648805356E-2</v>
      </c>
      <c r="K3">
        <f>FL!B3/norm.loc!B3</f>
        <v>7.4412689107726298</v>
      </c>
      <c r="L3">
        <f>FL!C3/norm.loc!C3</f>
        <v>23.041804884853416</v>
      </c>
      <c r="M3">
        <f>FL!D3/norm.loc!D3</f>
        <v>16.770189043633014</v>
      </c>
      <c r="R3">
        <f t="shared" ref="R3:R35" si="4">B3/$P$2</f>
        <v>0.20173743005628103</v>
      </c>
    </row>
    <row r="4" spans="1:18" x14ac:dyDescent="0.25">
      <c r="A4">
        <v>60</v>
      </c>
      <c r="B4">
        <v>0.49129009600000001</v>
      </c>
      <c r="C4">
        <v>0.229507075</v>
      </c>
      <c r="D4">
        <v>0.17051883000000001</v>
      </c>
      <c r="E4">
        <f t="shared" si="0"/>
        <v>0.89131600100000008</v>
      </c>
      <c r="F4">
        <f t="shared" si="1"/>
        <v>0.24320799106655924</v>
      </c>
      <c r="G4">
        <v>27</v>
      </c>
      <c r="H4" s="1">
        <f t="shared" si="2"/>
        <v>111.01608907501256</v>
      </c>
      <c r="I4">
        <f t="shared" si="3"/>
        <v>5.9544260108208236E-2</v>
      </c>
      <c r="K4">
        <f>FL!B4/norm.loc!B4</f>
        <v>26.460944573977326</v>
      </c>
      <c r="L4">
        <f>FL!C4/norm.loc!C4</f>
        <v>56.643133986174497</v>
      </c>
      <c r="M4">
        <f>FL!D4/norm.loc!D4</f>
        <v>5.8644549695772596</v>
      </c>
      <c r="R4">
        <f t="shared" si="4"/>
        <v>0.24583869267983699</v>
      </c>
    </row>
    <row r="5" spans="1:18" x14ac:dyDescent="0.25">
      <c r="A5">
        <v>65</v>
      </c>
      <c r="B5">
        <v>0.58435648900000003</v>
      </c>
      <c r="C5">
        <v>0.29615888400000001</v>
      </c>
      <c r="D5">
        <v>0.23797359000000001</v>
      </c>
      <c r="E5">
        <f t="shared" si="0"/>
        <v>1.1184889630000001</v>
      </c>
      <c r="F5">
        <f t="shared" si="1"/>
        <v>0.30519529932835693</v>
      </c>
      <c r="G5">
        <v>44</v>
      </c>
      <c r="H5" s="1">
        <f t="shared" si="2"/>
        <v>144.16997934381942</v>
      </c>
      <c r="I5">
        <f t="shared" si="3"/>
        <v>7.73265823122532E-2</v>
      </c>
      <c r="K5">
        <f>FL!B5/norm.loc!B5</f>
        <v>34.22568308298532</v>
      </c>
      <c r="L5">
        <f>FL!C5/norm.loc!C5</f>
        <v>64.154752825176089</v>
      </c>
      <c r="M5">
        <f>FL!D5/norm.loc!D5</f>
        <v>21.01073484666933</v>
      </c>
      <c r="R5">
        <f t="shared" si="4"/>
        <v>0.2924085718079274</v>
      </c>
    </row>
    <row r="6" spans="1:18" x14ac:dyDescent="0.25">
      <c r="A6">
        <v>70</v>
      </c>
      <c r="B6">
        <v>0.67841249699999995</v>
      </c>
      <c r="C6">
        <v>0.37301780299999998</v>
      </c>
      <c r="D6">
        <v>0.32416138</v>
      </c>
      <c r="E6">
        <f t="shared" si="0"/>
        <v>1.3755916799999999</v>
      </c>
      <c r="F6">
        <f t="shared" si="1"/>
        <v>0.37534935830314253</v>
      </c>
      <c r="G6">
        <v>62</v>
      </c>
      <c r="H6" s="1">
        <f t="shared" si="2"/>
        <v>165.17944850175309</v>
      </c>
      <c r="I6">
        <f t="shared" si="3"/>
        <v>8.859515884650758E-2</v>
      </c>
      <c r="K6">
        <f>FL!B6/norm.loc!B6</f>
        <v>35.376706806154253</v>
      </c>
      <c r="L6">
        <f>FL!C6/norm.loc!C6</f>
        <v>83.105952988522645</v>
      </c>
      <c r="M6">
        <f>FL!D6/norm.loc!D6</f>
        <v>21.594182502554744</v>
      </c>
      <c r="R6">
        <f t="shared" si="4"/>
        <v>0.33947364849818551</v>
      </c>
    </row>
    <row r="7" spans="1:18" x14ac:dyDescent="0.25">
      <c r="A7">
        <v>75</v>
      </c>
      <c r="B7">
        <v>0.76875139199999998</v>
      </c>
      <c r="C7">
        <v>0.45857509200000002</v>
      </c>
      <c r="D7">
        <v>0.43099267000000002</v>
      </c>
      <c r="E7">
        <f t="shared" si="0"/>
        <v>1.658319154</v>
      </c>
      <c r="F7">
        <f t="shared" si="1"/>
        <v>0.45249548929789268</v>
      </c>
      <c r="G7">
        <v>102</v>
      </c>
      <c r="H7" s="1">
        <f t="shared" si="2"/>
        <v>225.4166116843875</v>
      </c>
      <c r="I7">
        <f t="shared" si="3"/>
        <v>0.12090378494397185</v>
      </c>
      <c r="K7">
        <f>FL!B7/norm.loc!B7</f>
        <v>53.333236761150481</v>
      </c>
      <c r="L7">
        <f>FL!C7/norm.loc!C7</f>
        <v>104.67206099366601</v>
      </c>
      <c r="M7">
        <f>FL!D7/norm.loc!D7</f>
        <v>30.162925972731738</v>
      </c>
      <c r="R7">
        <f t="shared" si="4"/>
        <v>0.38467870356801348</v>
      </c>
    </row>
    <row r="8" spans="1:18" x14ac:dyDescent="0.25">
      <c r="A8">
        <v>80</v>
      </c>
      <c r="B8">
        <v>0.85026460000000004</v>
      </c>
      <c r="C8">
        <v>0.55025940100000004</v>
      </c>
      <c r="D8">
        <v>0.55931260999999999</v>
      </c>
      <c r="E8">
        <f t="shared" si="0"/>
        <v>1.9598366110000001</v>
      </c>
      <c r="F8">
        <f t="shared" si="1"/>
        <v>0.53476872898639194</v>
      </c>
      <c r="G8">
        <v>134</v>
      </c>
      <c r="H8" s="1">
        <f t="shared" si="2"/>
        <v>250.57560911234555</v>
      </c>
      <c r="I8">
        <f t="shared" si="3"/>
        <v>0.13439799014786658</v>
      </c>
      <c r="K8">
        <f>FL!B8/norm.loc!B8</f>
        <v>59.981328165373462</v>
      </c>
      <c r="L8">
        <f>FL!C8/norm.loc!C8</f>
        <v>107.22215720945037</v>
      </c>
      <c r="M8">
        <f>FL!D8/norm.loc!D8</f>
        <v>42.909813887443015</v>
      </c>
      <c r="R8">
        <f t="shared" si="4"/>
        <v>0.42546743644501339</v>
      </c>
    </row>
    <row r="9" spans="1:18" x14ac:dyDescent="0.25">
      <c r="A9">
        <v>85</v>
      </c>
      <c r="B9">
        <v>0.91790637900000005</v>
      </c>
      <c r="C9">
        <v>0.64446685599999998</v>
      </c>
      <c r="D9">
        <v>0.70846017999999999</v>
      </c>
      <c r="E9">
        <f t="shared" si="0"/>
        <v>2.2708334149999998</v>
      </c>
      <c r="F9">
        <f t="shared" si="1"/>
        <v>0.61962854059540673</v>
      </c>
      <c r="G9">
        <v>110</v>
      </c>
      <c r="H9" s="1">
        <f t="shared" si="2"/>
        <v>177.52571547834125</v>
      </c>
      <c r="I9">
        <f t="shared" si="3"/>
        <v>9.5217165965877593E-2</v>
      </c>
      <c r="K9">
        <f>FL!B9/norm.loc!B9</f>
        <v>42.487993211778296</v>
      </c>
      <c r="L9">
        <f>FL!C9/norm.loc!C9</f>
        <v>74.480168457258884</v>
      </c>
      <c r="M9">
        <f>FL!D9/norm.loc!D9</f>
        <v>32.464774519860804</v>
      </c>
      <c r="R9">
        <f t="shared" si="4"/>
        <v>0.45931498732236398</v>
      </c>
    </row>
    <row r="10" spans="1:18" x14ac:dyDescent="0.25">
      <c r="A10">
        <v>90</v>
      </c>
      <c r="B10">
        <v>0.96720556199999996</v>
      </c>
      <c r="C10">
        <v>0.736732469</v>
      </c>
      <c r="D10">
        <v>0.87589569</v>
      </c>
      <c r="E10">
        <f t="shared" si="0"/>
        <v>2.579833721</v>
      </c>
      <c r="F10">
        <f t="shared" si="1"/>
        <v>0.70394357990458223</v>
      </c>
      <c r="G10">
        <v>81</v>
      </c>
      <c r="H10" s="1">
        <f t="shared" si="2"/>
        <v>115.0660398252078</v>
      </c>
      <c r="I10">
        <f t="shared" si="3"/>
        <v>6.1716479674798395E-2</v>
      </c>
      <c r="K10">
        <f>FL!B10/norm.loc!B10</f>
        <v>22.745940329900627</v>
      </c>
      <c r="L10">
        <f>FL!C10/norm.loc!C10</f>
        <v>39.362999759414706</v>
      </c>
      <c r="M10">
        <f>FL!D10/norm.loc!D10</f>
        <v>34.250653750790804</v>
      </c>
      <c r="R10">
        <f t="shared" si="4"/>
        <v>0.48398401036512451</v>
      </c>
    </row>
    <row r="11" spans="1:18" x14ac:dyDescent="0.25">
      <c r="A11">
        <v>95</v>
      </c>
      <c r="B11">
        <v>0.99475307300000004</v>
      </c>
      <c r="C11">
        <v>0.82204414599999998</v>
      </c>
      <c r="D11">
        <v>1.05697675</v>
      </c>
      <c r="E11">
        <f t="shared" si="0"/>
        <v>2.8737739690000002</v>
      </c>
      <c r="F11">
        <f t="shared" si="1"/>
        <v>0.78414927253152999</v>
      </c>
      <c r="G11">
        <v>60</v>
      </c>
      <c r="H11" s="1">
        <f t="shared" si="2"/>
        <v>76.516043694457991</v>
      </c>
      <c r="I11">
        <f t="shared" si="3"/>
        <v>4.1039918142993882E-2</v>
      </c>
      <c r="K11">
        <f>FL!B11/norm.loc!B11</f>
        <v>14.073844434356424</v>
      </c>
      <c r="L11">
        <f>FL!C11/norm.loc!C11</f>
        <v>24.329593607981245</v>
      </c>
      <c r="M11">
        <f>FL!D11/norm.loc!D11</f>
        <v>24.598459710679538</v>
      </c>
      <c r="R11">
        <f t="shared" si="4"/>
        <v>0.49776862386733406</v>
      </c>
    </row>
    <row r="12" spans="1:18" x14ac:dyDescent="0.25">
      <c r="A12">
        <v>100</v>
      </c>
      <c r="B12">
        <v>0.99859158299999995</v>
      </c>
      <c r="C12">
        <v>0.89527524999999997</v>
      </c>
      <c r="D12">
        <v>1.2449576899999999</v>
      </c>
      <c r="E12">
        <f t="shared" si="0"/>
        <v>3.1388245229999998</v>
      </c>
      <c r="F12">
        <f t="shared" si="1"/>
        <v>0.85647200958224567</v>
      </c>
      <c r="G12">
        <v>61</v>
      </c>
      <c r="H12" s="1">
        <f t="shared" si="2"/>
        <v>71.222409276111037</v>
      </c>
      <c r="I12">
        <f t="shared" si="3"/>
        <v>3.820064009464872E-2</v>
      </c>
      <c r="K12">
        <f>FL!B12/norm.loc!B12</f>
        <v>12.016924841234117</v>
      </c>
      <c r="L12">
        <f>FL!C12/norm.loc!C12</f>
        <v>21.222523464152506</v>
      </c>
      <c r="M12">
        <f>FL!D12/norm.loc!D12</f>
        <v>24.097204460016631</v>
      </c>
      <c r="R12">
        <f t="shared" si="4"/>
        <v>0.49968939183705613</v>
      </c>
    </row>
    <row r="13" spans="1:18" x14ac:dyDescent="0.25">
      <c r="A13">
        <v>105</v>
      </c>
      <c r="B13">
        <v>0.97844545400000005</v>
      </c>
      <c r="C13">
        <v>0.95168697000000002</v>
      </c>
      <c r="D13">
        <v>1.43126435</v>
      </c>
      <c r="E13">
        <f t="shared" si="0"/>
        <v>3.3613967740000001</v>
      </c>
      <c r="F13">
        <f t="shared" si="1"/>
        <v>0.91720394973830721</v>
      </c>
      <c r="G13">
        <v>51</v>
      </c>
      <c r="H13" s="1">
        <f t="shared" si="2"/>
        <v>55.603772764553739</v>
      </c>
      <c r="I13">
        <f t="shared" si="3"/>
        <v>2.9823474561900279E-2</v>
      </c>
      <c r="K13">
        <f>FL!B13/norm.loc!B13</f>
        <v>11.242323171956809</v>
      </c>
      <c r="L13">
        <f>FL!C13/norm.loc!C13</f>
        <v>24.167610490663751</v>
      </c>
      <c r="M13">
        <f>FL!D13/norm.loc!D13</f>
        <v>11.877610170336458</v>
      </c>
      <c r="R13">
        <f t="shared" si="4"/>
        <v>0.48960838663006467</v>
      </c>
    </row>
    <row r="14" spans="1:18" x14ac:dyDescent="0.25">
      <c r="A14">
        <v>110</v>
      </c>
      <c r="B14">
        <v>0.935753469</v>
      </c>
      <c r="C14">
        <v>0.98743331400000001</v>
      </c>
      <c r="D14">
        <v>1.60605799</v>
      </c>
      <c r="E14">
        <f t="shared" si="0"/>
        <v>3.5292447730000003</v>
      </c>
      <c r="F14">
        <f t="shared" si="1"/>
        <v>0.96300361517181476</v>
      </c>
      <c r="G14">
        <v>38</v>
      </c>
      <c r="H14" s="1">
        <f t="shared" si="2"/>
        <v>39.459872633209393</v>
      </c>
      <c r="I14">
        <f t="shared" si="3"/>
        <v>2.1164580192705028E-2</v>
      </c>
      <c r="K14">
        <f>FL!B14/norm.loc!B14</f>
        <v>4.2746301590253575</v>
      </c>
      <c r="L14">
        <f>FL!C14/norm.loc!C14</f>
        <v>12.152719408857214</v>
      </c>
      <c r="M14">
        <f>FL!D14/norm.loc!D14</f>
        <v>13.698135520000744</v>
      </c>
      <c r="R14">
        <f t="shared" si="4"/>
        <v>0.46824556685055252</v>
      </c>
    </row>
    <row r="15" spans="1:18" x14ac:dyDescent="0.25">
      <c r="A15">
        <v>115</v>
      </c>
      <c r="B15">
        <v>0.87349893300000003</v>
      </c>
      <c r="C15">
        <v>0.99999432200000005</v>
      </c>
      <c r="D15">
        <v>1.75905209</v>
      </c>
      <c r="E15">
        <f t="shared" si="0"/>
        <v>3.632545345</v>
      </c>
      <c r="F15">
        <f t="shared" si="1"/>
        <v>0.99119061570132327</v>
      </c>
      <c r="G15">
        <v>22</v>
      </c>
      <c r="H15" s="1">
        <f t="shared" si="2"/>
        <v>22.195528944181699</v>
      </c>
      <c r="I15">
        <f t="shared" si="3"/>
        <v>1.1904728041704078E-2</v>
      </c>
      <c r="K15">
        <f>FL!B15/norm.loc!B15</f>
        <v>6.8689265359411715</v>
      </c>
      <c r="L15">
        <f>FL!C15/norm.loc!C15</f>
        <v>4.0000227121289589</v>
      </c>
      <c r="M15">
        <f>FL!D15/norm.loc!D15</f>
        <v>6.8218559690293201</v>
      </c>
      <c r="R15">
        <f t="shared" si="4"/>
        <v>0.43709376088451113</v>
      </c>
    </row>
    <row r="16" spans="1:18" x14ac:dyDescent="0.25">
      <c r="A16">
        <v>120</v>
      </c>
      <c r="B16">
        <v>0.79586502400000003</v>
      </c>
      <c r="C16">
        <v>0.98846978900000004</v>
      </c>
      <c r="D16">
        <v>1.8804954300000001</v>
      </c>
      <c r="E16">
        <f t="shared" si="0"/>
        <v>3.6648302429999999</v>
      </c>
      <c r="F16">
        <f t="shared" si="1"/>
        <v>1</v>
      </c>
      <c r="G16">
        <v>25</v>
      </c>
      <c r="H16" s="1">
        <f t="shared" si="2"/>
        <v>25</v>
      </c>
      <c r="I16">
        <f t="shared" si="3"/>
        <v>1.3408925815242582E-2</v>
      </c>
      <c r="K16">
        <f>FL!B16/norm.loc!B16</f>
        <v>3.769483404261273</v>
      </c>
      <c r="L16">
        <f>FL!C16/norm.loc!C16</f>
        <v>7.0816529527742595</v>
      </c>
      <c r="M16">
        <f>FL!D16/norm.loc!D16</f>
        <v>7.9766213523847806</v>
      </c>
      <c r="R16">
        <f t="shared" si="4"/>
        <v>0.39824620655444087</v>
      </c>
    </row>
    <row r="17" spans="1:18" x14ac:dyDescent="0.25">
      <c r="A17">
        <v>125</v>
      </c>
      <c r="B17">
        <v>0.70777067800000004</v>
      </c>
      <c r="C17">
        <v>0.95368592699999999</v>
      </c>
      <c r="D17">
        <v>1.96219414</v>
      </c>
      <c r="E17">
        <f t="shared" si="0"/>
        <v>3.623650745</v>
      </c>
      <c r="F17">
        <f t="shared" si="1"/>
        <v>0.98876360014801379</v>
      </c>
      <c r="G17">
        <v>19</v>
      </c>
      <c r="H17" s="1">
        <f t="shared" si="2"/>
        <v>19.215917735195529</v>
      </c>
      <c r="I17">
        <f t="shared" si="3"/>
        <v>1.0306592615321644E-2</v>
      </c>
      <c r="K17">
        <f>FL!B17/norm.loc!B17</f>
        <v>8.4773220853887921</v>
      </c>
      <c r="L17">
        <f>FL!C17/norm.loc!C17</f>
        <v>3.1456897025177555</v>
      </c>
      <c r="M17">
        <f>FL!D17/norm.loc!D17</f>
        <v>5.0963356765503338</v>
      </c>
      <c r="R17">
        <f t="shared" si="4"/>
        <v>0.35416431068588416</v>
      </c>
    </row>
    <row r="18" spans="1:18" x14ac:dyDescent="0.25">
      <c r="A18">
        <v>130</v>
      </c>
      <c r="B18">
        <v>0.61435842799999996</v>
      </c>
      <c r="C18">
        <v>0.89809743200000003</v>
      </c>
      <c r="D18">
        <v>1.99842462</v>
      </c>
      <c r="E18">
        <f t="shared" si="0"/>
        <v>3.51088048</v>
      </c>
      <c r="F18">
        <f t="shared" si="1"/>
        <v>0.95799266192641497</v>
      </c>
      <c r="G18">
        <v>21</v>
      </c>
      <c r="H18" s="1">
        <f t="shared" si="2"/>
        <v>21.920835967335464</v>
      </c>
      <c r="I18">
        <f t="shared" si="3"/>
        <v>1.1757394531764104E-2</v>
      </c>
      <c r="K18">
        <f>FL!B18/norm.loc!B18</f>
        <v>3.2554286046190613</v>
      </c>
      <c r="L18">
        <f>FL!C18/norm.loc!C18</f>
        <v>7.7942545547775266</v>
      </c>
      <c r="M18">
        <f>FL!D18/norm.loc!D18</f>
        <v>6.0047298656678878</v>
      </c>
      <c r="R18">
        <f t="shared" si="4"/>
        <v>0.30742136673636455</v>
      </c>
    </row>
    <row r="19" spans="1:18" x14ac:dyDescent="0.25">
      <c r="A19">
        <v>135</v>
      </c>
      <c r="B19">
        <v>0.52050772899999997</v>
      </c>
      <c r="C19">
        <v>0.82550107299999997</v>
      </c>
      <c r="D19">
        <v>1.98659655</v>
      </c>
      <c r="E19">
        <f t="shared" si="0"/>
        <v>3.3326053519999999</v>
      </c>
      <c r="F19">
        <f t="shared" si="1"/>
        <v>0.90934780904666312</v>
      </c>
      <c r="G19">
        <v>16</v>
      </c>
      <c r="H19" s="1">
        <f t="shared" si="2"/>
        <v>17.595027821944157</v>
      </c>
      <c r="I19">
        <f t="shared" si="3"/>
        <v>9.4372169112631379E-3</v>
      </c>
      <c r="K19">
        <f>FL!B19/norm.loc!B19</f>
        <v>1.9212010586686217</v>
      </c>
      <c r="L19">
        <f>FL!C19/norm.loc!C19</f>
        <v>6.0569273178885377</v>
      </c>
      <c r="M19">
        <f>FL!D19/norm.loc!D19</f>
        <v>5.033734705720696</v>
      </c>
      <c r="R19">
        <f t="shared" si="4"/>
        <v>0.26045902546977229</v>
      </c>
    </row>
    <row r="20" spans="1:18" x14ac:dyDescent="0.25">
      <c r="A20">
        <v>140</v>
      </c>
      <c r="B20">
        <v>0.43043606400000001</v>
      </c>
      <c r="C20">
        <v>0.74060721299999999</v>
      </c>
      <c r="D20">
        <v>1.92755904</v>
      </c>
      <c r="E20">
        <f t="shared" si="0"/>
        <v>3.0986023170000001</v>
      </c>
      <c r="F20">
        <f t="shared" si="1"/>
        <v>0.845496820192007</v>
      </c>
      <c r="G20">
        <v>22</v>
      </c>
      <c r="H20" s="1">
        <f t="shared" si="2"/>
        <v>26.020204304262123</v>
      </c>
      <c r="I20">
        <f t="shared" si="3"/>
        <v>1.3956119568532261E-2</v>
      </c>
      <c r="K20">
        <f>FL!B20/norm.loc!B20</f>
        <v>13.939352442364124</v>
      </c>
      <c r="L20">
        <f>FL!C20/norm.loc!C20</f>
        <v>8.1014603890983174</v>
      </c>
      <c r="M20">
        <f>FL!D20/norm.loc!D20</f>
        <v>5.1879085374215048</v>
      </c>
      <c r="R20">
        <f t="shared" si="4"/>
        <v>0.21538769073011121</v>
      </c>
    </row>
    <row r="21" spans="1:18" x14ac:dyDescent="0.25">
      <c r="A21">
        <v>145</v>
      </c>
      <c r="B21">
        <v>0.347429129</v>
      </c>
      <c r="C21">
        <v>0.64853637399999997</v>
      </c>
      <c r="D21">
        <v>1.82549988</v>
      </c>
      <c r="E21">
        <f t="shared" si="0"/>
        <v>2.821465383</v>
      </c>
      <c r="F21">
        <f t="shared" si="1"/>
        <v>0.76987614593858289</v>
      </c>
      <c r="G21">
        <v>21</v>
      </c>
      <c r="H21" s="1">
        <f t="shared" si="2"/>
        <v>27.277114781103091</v>
      </c>
      <c r="I21">
        <f t="shared" si="3"/>
        <v>1.4630272342146729E-2</v>
      </c>
      <c r="K21">
        <f>FL!B21/norm.loc!B21</f>
        <v>8.6348545633892435</v>
      </c>
      <c r="L21">
        <f>FL!C21/norm.loc!C21</f>
        <v>13.877402040675671</v>
      </c>
      <c r="M21">
        <f>FL!D21/norm.loc!D21</f>
        <v>4.9301564456963973</v>
      </c>
      <c r="R21">
        <f t="shared" si="4"/>
        <v>0.17385150559244011</v>
      </c>
    </row>
    <row r="22" spans="1:18" x14ac:dyDescent="0.25">
      <c r="A22">
        <v>150</v>
      </c>
      <c r="B22">
        <v>0.27371582700000002</v>
      </c>
      <c r="C22">
        <v>0.55431527800000002</v>
      </c>
      <c r="D22">
        <v>1.68745436</v>
      </c>
      <c r="E22">
        <f t="shared" si="0"/>
        <v>2.5154854650000003</v>
      </c>
      <c r="F22">
        <f t="shared" si="1"/>
        <v>0.68638526158331536</v>
      </c>
      <c r="G22">
        <v>13</v>
      </c>
      <c r="H22" s="1">
        <f t="shared" si="2"/>
        <v>18.939800615782925</v>
      </c>
      <c r="I22">
        <f t="shared" si="3"/>
        <v>1.015849525650076E-2</v>
      </c>
      <c r="K22">
        <f>FL!B22/norm.loc!B22</f>
        <v>7.3068482079408579</v>
      </c>
      <c r="L22">
        <f>FL!C22/norm.loc!C22</f>
        <v>5.4120824719538039</v>
      </c>
      <c r="M22">
        <f>FL!D22/norm.loc!D22</f>
        <v>4.7408689619315094</v>
      </c>
      <c r="R22">
        <f t="shared" si="4"/>
        <v>0.13696580009107376</v>
      </c>
    </row>
    <row r="23" spans="1:18" x14ac:dyDescent="0.25">
      <c r="A23">
        <v>155</v>
      </c>
      <c r="B23">
        <v>0.21047945000000001</v>
      </c>
      <c r="C23">
        <v>0.462440077</v>
      </c>
      <c r="D23">
        <v>1.5225037400000001</v>
      </c>
      <c r="E23">
        <f t="shared" si="0"/>
        <v>2.1954232670000002</v>
      </c>
      <c r="F23">
        <f t="shared" si="1"/>
        <v>0.59905183089813319</v>
      </c>
      <c r="G23">
        <v>8</v>
      </c>
      <c r="H23" s="1">
        <f t="shared" si="2"/>
        <v>13.354437107730623</v>
      </c>
      <c r="I23">
        <f t="shared" si="3"/>
        <v>7.1627462592753054E-3</v>
      </c>
      <c r="K23">
        <f>FL!B23/norm.loc!B23</f>
        <v>4.7510576448199568</v>
      </c>
      <c r="L23">
        <f>FL!C23/norm.loc!C23</f>
        <v>4.324884670408875</v>
      </c>
      <c r="M23">
        <f>FL!D23/norm.loc!D23</f>
        <v>3.2840641823316634</v>
      </c>
      <c r="R23">
        <f t="shared" si="4"/>
        <v>0.10532268662702925</v>
      </c>
    </row>
    <row r="24" spans="1:18" x14ac:dyDescent="0.25">
      <c r="A24">
        <v>160</v>
      </c>
      <c r="B24">
        <v>0.15797763100000001</v>
      </c>
      <c r="C24">
        <v>0.37655653500000003</v>
      </c>
      <c r="D24">
        <v>1.3407901499999999</v>
      </c>
      <c r="E24">
        <f t="shared" si="0"/>
        <v>1.8753243159999999</v>
      </c>
      <c r="F24">
        <f t="shared" si="1"/>
        <v>0.51170837164476002</v>
      </c>
      <c r="G24">
        <v>7</v>
      </c>
      <c r="H24" s="1">
        <f t="shared" si="2"/>
        <v>13.679666755304845</v>
      </c>
      <c r="I24">
        <f t="shared" si="3"/>
        <v>7.3371854679649146E-3</v>
      </c>
      <c r="K24">
        <f>FL!B24/norm.loc!B24</f>
        <v>6.3300101012402186</v>
      </c>
      <c r="L24">
        <f>FL!C24/norm.loc!C24</f>
        <v>2.6556437269107542</v>
      </c>
      <c r="M24">
        <f>FL!D24/norm.loc!D24</f>
        <v>3.7291443407456417</v>
      </c>
      <c r="R24">
        <f t="shared" si="4"/>
        <v>7.9051083247763429E-2</v>
      </c>
    </row>
    <row r="25" spans="1:18" x14ac:dyDescent="0.25">
      <c r="A25">
        <v>165</v>
      </c>
      <c r="B25">
        <v>0.115733104</v>
      </c>
      <c r="C25">
        <v>0.29928229099999998</v>
      </c>
      <c r="D25">
        <v>1.1524958199999999</v>
      </c>
      <c r="E25">
        <f t="shared" si="0"/>
        <v>1.5675112149999999</v>
      </c>
      <c r="F25">
        <f t="shared" si="1"/>
        <v>0.42771727776314356</v>
      </c>
      <c r="G25">
        <v>8</v>
      </c>
      <c r="H25" s="1">
        <f t="shared" si="2"/>
        <v>18.703943974014887</v>
      </c>
      <c r="I25">
        <f t="shared" si="3"/>
        <v>1.0031991888000765E-2</v>
      </c>
      <c r="K25">
        <f>FL!B25/norm.loc!B25</f>
        <v>8.6405701172587577</v>
      </c>
      <c r="L25">
        <f>FL!C25/norm.loc!C25</f>
        <v>13.365308006145945</v>
      </c>
      <c r="M25">
        <f>FL!D25/norm.loc!D25</f>
        <v>2.6030463173393548</v>
      </c>
      <c r="R25">
        <f t="shared" si="4"/>
        <v>5.7912168836270643E-2</v>
      </c>
    </row>
    <row r="26" spans="1:18" x14ac:dyDescent="0.25">
      <c r="A26">
        <v>170</v>
      </c>
      <c r="B26">
        <v>8.2755280000000001E-2</v>
      </c>
      <c r="C26">
        <v>0.23217099199999999</v>
      </c>
      <c r="D26">
        <v>0.96692772999999999</v>
      </c>
      <c r="E26">
        <f t="shared" si="0"/>
        <v>1.281854002</v>
      </c>
      <c r="F26">
        <f t="shared" si="1"/>
        <v>0.34977172665729939</v>
      </c>
      <c r="G26">
        <v>7</v>
      </c>
      <c r="H26" s="1">
        <f t="shared" si="2"/>
        <v>20.013052704109747</v>
      </c>
      <c r="I26">
        <f t="shared" si="3"/>
        <v>1.0734141561837902E-2</v>
      </c>
      <c r="K26">
        <f>FL!B26/norm.loc!B26</f>
        <v>12.08382111691242</v>
      </c>
      <c r="L26">
        <f>FL!C26/norm.loc!C26</f>
        <v>0</v>
      </c>
      <c r="M26">
        <f>FL!D26/norm.loc!D26</f>
        <v>6.2052207355765878</v>
      </c>
      <c r="R26">
        <f t="shared" si="4"/>
        <v>4.1410258446475702E-2</v>
      </c>
    </row>
    <row r="27" spans="1:18" x14ac:dyDescent="0.25">
      <c r="A27">
        <v>175</v>
      </c>
      <c r="B27">
        <v>5.7757705999999999E-2</v>
      </c>
      <c r="C27">
        <v>0.175796815</v>
      </c>
      <c r="D27">
        <v>0.79181692000000004</v>
      </c>
      <c r="E27">
        <f t="shared" si="0"/>
        <v>1.0253714410000001</v>
      </c>
      <c r="F27">
        <f t="shared" si="1"/>
        <v>0.27978688588878253</v>
      </c>
      <c r="G27">
        <v>7</v>
      </c>
      <c r="H27" s="1">
        <f t="shared" si="2"/>
        <v>25.019042539336724</v>
      </c>
      <c r="I27">
        <f t="shared" si="3"/>
        <v>1.3419139415134581E-2</v>
      </c>
      <c r="K27">
        <f>FL!B27/norm.loc!B27</f>
        <v>0</v>
      </c>
      <c r="L27">
        <f>FL!C27/norm.loc!C27</f>
        <v>11.3767703925694</v>
      </c>
      <c r="M27">
        <f>FL!D27/norm.loc!D27</f>
        <v>6.3145910041932414</v>
      </c>
      <c r="R27">
        <f t="shared" si="4"/>
        <v>2.890161851588878E-2</v>
      </c>
    </row>
    <row r="28" spans="1:18" x14ac:dyDescent="0.25">
      <c r="A28">
        <v>180</v>
      </c>
      <c r="B28">
        <v>3.9345970000000001E-2</v>
      </c>
      <c r="C28">
        <v>0.129924231</v>
      </c>
      <c r="D28">
        <v>0.63289496999999995</v>
      </c>
      <c r="E28">
        <f t="shared" si="0"/>
        <v>0.80216517099999995</v>
      </c>
      <c r="F28">
        <f t="shared" si="1"/>
        <v>0.21888194481372597</v>
      </c>
      <c r="G28">
        <v>5</v>
      </c>
      <c r="H28" s="1">
        <f t="shared" si="2"/>
        <v>22.843364281394361</v>
      </c>
      <c r="I28">
        <f t="shared" si="3"/>
        <v>1.2252199080791167E-2</v>
      </c>
      <c r="K28">
        <f>FL!B28/norm.loc!B28</f>
        <v>25.415563525311487</v>
      </c>
      <c r="L28">
        <f>FL!C28/norm.loc!C28</f>
        <v>23.090381039084232</v>
      </c>
      <c r="M28">
        <f>FL!D28/norm.loc!D28</f>
        <v>1.5800409979557906</v>
      </c>
      <c r="R28">
        <f t="shared" si="4"/>
        <v>1.9688493429389397E-2</v>
      </c>
    </row>
    <row r="29" spans="1:18" x14ac:dyDescent="0.25">
      <c r="A29">
        <v>185</v>
      </c>
      <c r="B29">
        <v>2.6161744000000001E-2</v>
      </c>
      <c r="C29">
        <v>9.3722834000000005E-2</v>
      </c>
      <c r="D29">
        <v>0.49375854000000002</v>
      </c>
      <c r="E29">
        <f t="shared" si="0"/>
        <v>0.61364311800000004</v>
      </c>
      <c r="F29">
        <f t="shared" si="1"/>
        <v>0.16744107566021307</v>
      </c>
      <c r="G29">
        <v>0</v>
      </c>
      <c r="H29" s="1">
        <f t="shared" si="2"/>
        <v>0</v>
      </c>
      <c r="I29">
        <f t="shared" si="3"/>
        <v>0</v>
      </c>
      <c r="K29">
        <f>FL!B29/norm.loc!B29</f>
        <v>0</v>
      </c>
      <c r="L29">
        <f>FL!C29/norm.loc!C29</f>
        <v>0</v>
      </c>
      <c r="M29">
        <f>FL!D29/norm.loc!D29</f>
        <v>0</v>
      </c>
      <c r="R29">
        <f t="shared" si="4"/>
        <v>1.309118379456314E-2</v>
      </c>
    </row>
    <row r="30" spans="1:18" x14ac:dyDescent="0.25">
      <c r="A30">
        <v>190</v>
      </c>
      <c r="B30">
        <v>1.6978888000000001E-2</v>
      </c>
      <c r="C30">
        <v>6.5989795000000004E-2</v>
      </c>
      <c r="D30">
        <v>0.37598776</v>
      </c>
      <c r="E30">
        <f t="shared" si="0"/>
        <v>0.45895644299999999</v>
      </c>
      <c r="F30">
        <f t="shared" si="1"/>
        <v>0.12523266087880294</v>
      </c>
      <c r="G30">
        <v>1</v>
      </c>
      <c r="H30" s="1">
        <f t="shared" si="2"/>
        <v>7.9851373673819417</v>
      </c>
      <c r="I30">
        <f t="shared" si="3"/>
        <v>4.2828845833498361E-3</v>
      </c>
      <c r="K30">
        <f>FL!B30/norm.loc!B30</f>
        <v>0</v>
      </c>
      <c r="L30">
        <f>FL!C30/norm.loc!C30</f>
        <v>15.153858259447539</v>
      </c>
      <c r="M30">
        <f>FL!D30/norm.loc!D30</f>
        <v>0</v>
      </c>
      <c r="R30">
        <f t="shared" si="4"/>
        <v>8.4961363216191771E-3</v>
      </c>
    </row>
    <row r="31" spans="1:18" x14ac:dyDescent="0.25">
      <c r="A31">
        <v>195</v>
      </c>
      <c r="B31">
        <v>1.0755433E-2</v>
      </c>
      <c r="C31">
        <v>4.5350727E-2</v>
      </c>
      <c r="D31">
        <v>0.27945308000000002</v>
      </c>
      <c r="E31">
        <f t="shared" si="0"/>
        <v>0.33555924000000004</v>
      </c>
      <c r="F31">
        <f t="shared" si="1"/>
        <v>9.1562014541037517E-2</v>
      </c>
      <c r="G31">
        <v>0</v>
      </c>
      <c r="H31" s="1">
        <f t="shared" si="2"/>
        <v>0</v>
      </c>
      <c r="I31">
        <f t="shared" si="3"/>
        <v>0</v>
      </c>
      <c r="K31">
        <f>FL!B31/norm.loc!B31</f>
        <v>0</v>
      </c>
      <c r="L31">
        <f>FL!C31/norm.loc!C31</f>
        <v>0</v>
      </c>
      <c r="M31">
        <f>FL!D31/norm.loc!D31</f>
        <v>0</v>
      </c>
      <c r="R31">
        <f t="shared" si="4"/>
        <v>5.3819558127741638E-3</v>
      </c>
    </row>
    <row r="32" spans="1:18" x14ac:dyDescent="0.25">
      <c r="A32">
        <v>200</v>
      </c>
      <c r="B32">
        <v>6.6500149999999996E-3</v>
      </c>
      <c r="C32">
        <v>3.0420604E-2</v>
      </c>
      <c r="D32">
        <v>0.20273102000000001</v>
      </c>
      <c r="E32">
        <f t="shared" si="0"/>
        <v>0.23980163900000001</v>
      </c>
      <c r="F32">
        <f t="shared" si="1"/>
        <v>6.5433218757685305E-2</v>
      </c>
      <c r="G32">
        <v>2</v>
      </c>
      <c r="H32" s="1">
        <f t="shared" si="2"/>
        <v>30.565514550131997</v>
      </c>
      <c r="I32">
        <f t="shared" si="3"/>
        <v>1.6394028684297509E-2</v>
      </c>
      <c r="K32">
        <f>FL!B32/norm.loc!B32</f>
        <v>150.37560065653989</v>
      </c>
      <c r="L32">
        <f>FL!C32/norm.loc!C32</f>
        <v>0</v>
      </c>
      <c r="M32">
        <f>FL!D32/norm.loc!D32</f>
        <v>4.9326442495085354</v>
      </c>
      <c r="R32">
        <f t="shared" si="4"/>
        <v>3.3276286398032863E-3</v>
      </c>
    </row>
    <row r="33" spans="1:18" x14ac:dyDescent="0.25">
      <c r="A33">
        <v>205</v>
      </c>
      <c r="B33">
        <v>4.0132249999999996E-3</v>
      </c>
      <c r="C33">
        <v>1.9917165000000001E-2</v>
      </c>
      <c r="D33">
        <v>0.14355145999999999</v>
      </c>
      <c r="E33">
        <f t="shared" si="0"/>
        <v>0.16748184999999999</v>
      </c>
      <c r="F33">
        <f t="shared" si="1"/>
        <v>4.5699756576692271E-2</v>
      </c>
      <c r="G33">
        <v>0</v>
      </c>
      <c r="H33" s="1">
        <f t="shared" si="2"/>
        <v>0</v>
      </c>
      <c r="I33">
        <f t="shared" si="3"/>
        <v>0</v>
      </c>
      <c r="K33">
        <f>FL!B33/norm.loc!B33</f>
        <v>0</v>
      </c>
      <c r="L33">
        <f>FL!C33/norm.loc!C33</f>
        <v>0</v>
      </c>
      <c r="M33">
        <f>FL!D33/norm.loc!D33</f>
        <v>0</v>
      </c>
      <c r="R33">
        <f t="shared" si="4"/>
        <v>2.0081943345954174E-3</v>
      </c>
    </row>
    <row r="34" spans="1:18" x14ac:dyDescent="0.25">
      <c r="A34">
        <v>210</v>
      </c>
      <c r="B34">
        <v>2.3639619999999998E-3</v>
      </c>
      <c r="C34">
        <v>1.2728092E-2</v>
      </c>
      <c r="D34">
        <v>9.9213579999999996E-2</v>
      </c>
      <c r="E34">
        <f t="shared" si="0"/>
        <v>0.11430563399999999</v>
      </c>
      <c r="F34">
        <f t="shared" si="1"/>
        <v>3.1189885048108077E-2</v>
      </c>
      <c r="G34">
        <v>0</v>
      </c>
      <c r="H34" s="1">
        <f t="shared" si="2"/>
        <v>0</v>
      </c>
      <c r="I34">
        <f t="shared" si="3"/>
        <v>0</v>
      </c>
      <c r="K34">
        <f>FL!B34/norm.loc!B34</f>
        <v>0</v>
      </c>
      <c r="L34">
        <f>FL!C34/norm.loc!C34</f>
        <v>0</v>
      </c>
      <c r="M34">
        <f>FL!D34/norm.loc!D34</f>
        <v>0</v>
      </c>
      <c r="R34">
        <f t="shared" si="4"/>
        <v>1.1829127685586659E-3</v>
      </c>
    </row>
    <row r="35" spans="1:18" x14ac:dyDescent="0.25">
      <c r="A35">
        <v>215</v>
      </c>
      <c r="B35">
        <v>1.359138E-3</v>
      </c>
      <c r="C35">
        <v>7.9391719999999995E-3</v>
      </c>
      <c r="D35">
        <v>6.6928440000000006E-2</v>
      </c>
      <c r="E35">
        <f t="shared" si="0"/>
        <v>7.622675000000001E-2</v>
      </c>
      <c r="F35">
        <f t="shared" si="1"/>
        <v>2.0799530932052508E-2</v>
      </c>
      <c r="G35">
        <v>1</v>
      </c>
      <c r="H35" s="1">
        <f t="shared" si="2"/>
        <v>48.078007300586727</v>
      </c>
      <c r="I35">
        <f t="shared" si="3"/>
        <v>2.5786977329530347E-2</v>
      </c>
      <c r="K35">
        <f>FL!B35/norm.loc!B35</f>
        <v>0</v>
      </c>
      <c r="L35">
        <f>FL!C35/norm.loc!C35</f>
        <v>0</v>
      </c>
      <c r="M35">
        <f>FL!D35/norm.loc!D35</f>
        <v>14.941331368249431</v>
      </c>
      <c r="R35">
        <f t="shared" si="4"/>
        <v>6.8010471168034351E-4</v>
      </c>
    </row>
    <row r="36" spans="1:18" x14ac:dyDescent="0.25">
      <c r="A36" t="s">
        <v>5</v>
      </c>
      <c r="E36">
        <f>MAX(E2:E35)</f>
        <v>3.6648302429999999</v>
      </c>
      <c r="G36">
        <f>SUM(G2:G35)</f>
        <v>985</v>
      </c>
      <c r="H36" s="1">
        <f>SUM(H2:H35)</f>
        <v>1864.4297346757842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zoomScale="130" zoomScaleNormal="130" workbookViewId="0">
      <selection activeCell="H2" sqref="H2"/>
    </sheetView>
  </sheetViews>
  <sheetFormatPr defaultRowHeight="15" x14ac:dyDescent="0.25"/>
  <cols>
    <col min="6" max="6" width="13.7109375" bestFit="1" customWidth="1"/>
    <col min="7" max="7" width="11.5703125" bestFit="1" customWidth="1"/>
    <col min="8" max="8" width="14.85546875" style="1" bestFit="1" customWidth="1"/>
    <col min="9" max="9" width="12" bestFit="1" customWidth="1"/>
  </cols>
  <sheetData>
    <row r="1" spans="1:9" x14ac:dyDescent="0.25">
      <c r="B1">
        <v>6</v>
      </c>
      <c r="C1">
        <v>7</v>
      </c>
      <c r="D1">
        <v>8</v>
      </c>
      <c r="E1" t="s">
        <v>0</v>
      </c>
      <c r="F1" t="s">
        <v>1</v>
      </c>
      <c r="G1" t="s">
        <v>2</v>
      </c>
      <c r="H1" s="1" t="s">
        <v>3</v>
      </c>
      <c r="I1" t="s">
        <v>4</v>
      </c>
    </row>
    <row r="2" spans="1:9" x14ac:dyDescent="0.25">
      <c r="A2">
        <v>50</v>
      </c>
      <c r="B2" s="2">
        <v>7.2825869999999998E-8</v>
      </c>
      <c r="C2" s="2">
        <v>5.5970390000000003E-8</v>
      </c>
      <c r="D2" s="2">
        <v>4.480881E-8</v>
      </c>
      <c r="E2" s="2">
        <f>SUM(B2:D2)</f>
        <v>1.7360506999999999E-7</v>
      </c>
      <c r="F2" s="47">
        <f>E2/$E$36</f>
        <v>0.49157778552374015</v>
      </c>
      <c r="G2">
        <v>1</v>
      </c>
      <c r="H2" s="1">
        <f>G2/F2</f>
        <v>2.0342660499488869</v>
      </c>
      <c r="I2">
        <f>H2/$H$36</f>
        <v>1.4016119110454421E-3</v>
      </c>
    </row>
    <row r="3" spans="1:9" x14ac:dyDescent="0.25">
      <c r="A3">
        <v>55</v>
      </c>
      <c r="B3" s="2">
        <v>8.4577310000000003E-8</v>
      </c>
      <c r="C3" s="2">
        <v>6.5704749999999998E-8</v>
      </c>
      <c r="D3" s="2">
        <v>5.2645949999999998E-8</v>
      </c>
      <c r="E3" s="2">
        <f t="shared" ref="E3:E35" si="0">SUM(B3:D3)</f>
        <v>2.0292801000000001E-7</v>
      </c>
      <c r="F3">
        <f t="shared" ref="F3:F35" si="1">E3/$E$36</f>
        <v>0.57460822876048145</v>
      </c>
      <c r="G3">
        <v>9</v>
      </c>
      <c r="H3" s="1">
        <f t="shared" ref="H3:H35" si="2">G3/F3</f>
        <v>15.662845656447329</v>
      </c>
      <c r="I3">
        <f t="shared" ref="I3:I35" si="3">H3/$H$36</f>
        <v>1.0791720696265142E-2</v>
      </c>
    </row>
    <row r="4" spans="1:9" x14ac:dyDescent="0.25">
      <c r="A4">
        <v>60</v>
      </c>
      <c r="B4" s="2">
        <v>9.5809879999999997E-8</v>
      </c>
      <c r="C4" s="2">
        <v>7.574452E-8</v>
      </c>
      <c r="D4" s="2">
        <v>6.0996480000000006E-8</v>
      </c>
      <c r="E4" s="2">
        <f t="shared" si="0"/>
        <v>2.3255088000000002E-7</v>
      </c>
      <c r="F4">
        <f t="shared" si="1"/>
        <v>0.65848794975859315</v>
      </c>
      <c r="G4">
        <v>27</v>
      </c>
      <c r="H4" s="1">
        <f t="shared" si="2"/>
        <v>41.003028240529552</v>
      </c>
      <c r="I4">
        <f t="shared" si="3"/>
        <v>2.825113891681123E-2</v>
      </c>
    </row>
    <row r="5" spans="1:9" x14ac:dyDescent="0.25">
      <c r="A5">
        <v>65</v>
      </c>
      <c r="B5" s="2">
        <v>1.0586559999999999E-7</v>
      </c>
      <c r="C5" s="2">
        <v>8.5747550000000003E-8</v>
      </c>
      <c r="D5" s="2">
        <v>6.9692009999999996E-8</v>
      </c>
      <c r="E5" s="2">
        <f t="shared" si="0"/>
        <v>2.6130516000000002E-7</v>
      </c>
      <c r="F5">
        <f t="shared" si="1"/>
        <v>0.73990818297372662</v>
      </c>
      <c r="G5">
        <v>44</v>
      </c>
      <c r="H5" s="1">
        <f t="shared" si="2"/>
        <v>59.466837930027857</v>
      </c>
      <c r="I5">
        <f t="shared" si="3"/>
        <v>4.0972727415389036E-2</v>
      </c>
    </row>
    <row r="6" spans="1:9" x14ac:dyDescent="0.25">
      <c r="A6">
        <v>70</v>
      </c>
      <c r="B6" s="2">
        <v>1.141006E-7</v>
      </c>
      <c r="C6" s="2">
        <v>9.5325329999999994E-8</v>
      </c>
      <c r="D6" s="2">
        <v>7.8523470000000005E-8</v>
      </c>
      <c r="E6" s="2">
        <f t="shared" si="0"/>
        <v>2.8794939999999998E-7</v>
      </c>
      <c r="F6">
        <f t="shared" si="1"/>
        <v>0.81535365525263548</v>
      </c>
      <c r="G6">
        <v>62</v>
      </c>
      <c r="H6" s="1">
        <f t="shared" si="2"/>
        <v>76.040623109476883</v>
      </c>
      <c r="I6">
        <f t="shared" si="3"/>
        <v>5.2392086608454201E-2</v>
      </c>
    </row>
    <row r="7" spans="1:9" x14ac:dyDescent="0.25">
      <c r="A7">
        <v>75</v>
      </c>
      <c r="B7" s="2">
        <v>1.1995240000000001E-7</v>
      </c>
      <c r="C7" s="2">
        <v>1.040665E-7</v>
      </c>
      <c r="D7" s="2">
        <v>8.7247779999999998E-8</v>
      </c>
      <c r="E7" s="2">
        <f t="shared" si="0"/>
        <v>3.1126667999999998E-7</v>
      </c>
      <c r="F7">
        <f t="shared" si="1"/>
        <v>0.88137855226075279</v>
      </c>
      <c r="G7">
        <v>102</v>
      </c>
      <c r="H7" s="1">
        <f t="shared" si="2"/>
        <v>115.72779906927398</v>
      </c>
      <c r="I7">
        <f t="shared" si="3"/>
        <v>7.973660162034539E-2</v>
      </c>
    </row>
    <row r="8" spans="1:9" x14ac:dyDescent="0.25">
      <c r="A8">
        <v>80</v>
      </c>
      <c r="B8" s="2">
        <v>1.230037E-7</v>
      </c>
      <c r="C8" s="2">
        <v>1.115654E-7</v>
      </c>
      <c r="D8" s="2">
        <v>9.5597729999999993E-8</v>
      </c>
      <c r="E8" s="2">
        <f t="shared" si="0"/>
        <v>3.3016682999999999E-7</v>
      </c>
      <c r="F8">
        <f t="shared" si="1"/>
        <v>0.93489596326186308</v>
      </c>
      <c r="G8">
        <v>134</v>
      </c>
      <c r="H8" s="1">
        <f t="shared" si="2"/>
        <v>143.33145640341885</v>
      </c>
      <c r="I8">
        <f t="shared" si="3"/>
        <v>9.8755556839563871E-2</v>
      </c>
    </row>
    <row r="9" spans="1:9" x14ac:dyDescent="0.25">
      <c r="A9">
        <v>85</v>
      </c>
      <c r="B9" s="2">
        <v>1.2303129999999999E-7</v>
      </c>
      <c r="C9" s="2">
        <v>1.1745310000000001E-7</v>
      </c>
      <c r="D9" s="2">
        <v>1.03295E-7</v>
      </c>
      <c r="E9" s="2">
        <f t="shared" si="0"/>
        <v>3.4377940000000002E-7</v>
      </c>
      <c r="F9">
        <f t="shared" si="1"/>
        <v>0.97344113372195917</v>
      </c>
      <c r="G9">
        <v>110</v>
      </c>
      <c r="H9" s="1">
        <f t="shared" si="2"/>
        <v>113.00118331697594</v>
      </c>
      <c r="I9">
        <f t="shared" si="3"/>
        <v>7.7857959878592342E-2</v>
      </c>
    </row>
    <row r="10" spans="1:9" x14ac:dyDescent="0.25">
      <c r="A10">
        <v>90</v>
      </c>
      <c r="B10" s="2">
        <v>1.200333E-7</v>
      </c>
      <c r="C10" s="2">
        <v>1.2142699999999999E-7</v>
      </c>
      <c r="D10" s="2">
        <v>1.1006489999999999E-7</v>
      </c>
      <c r="E10" s="2">
        <f t="shared" si="0"/>
        <v>3.5152520000000003E-7</v>
      </c>
      <c r="F10">
        <f t="shared" si="1"/>
        <v>0.99537403701280081</v>
      </c>
      <c r="G10">
        <v>81</v>
      </c>
      <c r="H10" s="1">
        <f t="shared" si="2"/>
        <v>81.37644441991641</v>
      </c>
      <c r="I10">
        <f t="shared" si="3"/>
        <v>5.6068474317972357E-2</v>
      </c>
    </row>
    <row r="11" spans="1:9" x14ac:dyDescent="0.25">
      <c r="A11">
        <v>95</v>
      </c>
      <c r="B11" s="2">
        <v>1.142288E-7</v>
      </c>
      <c r="C11" s="2">
        <v>1.23277E-7</v>
      </c>
      <c r="D11" s="2">
        <v>1.156531E-7</v>
      </c>
      <c r="E11" s="2">
        <f t="shared" si="0"/>
        <v>3.531589E-7</v>
      </c>
      <c r="F11">
        <f t="shared" si="1"/>
        <v>1</v>
      </c>
      <c r="G11">
        <v>60</v>
      </c>
      <c r="H11" s="1">
        <f t="shared" si="2"/>
        <v>60</v>
      </c>
      <c r="I11">
        <f t="shared" si="3"/>
        <v>4.1340076763724955E-2</v>
      </c>
    </row>
    <row r="12" spans="1:9" x14ac:dyDescent="0.25">
      <c r="A12">
        <v>100</v>
      </c>
      <c r="B12" s="2">
        <v>1.060322E-7</v>
      </c>
      <c r="C12" s="2">
        <v>1.229037E-7</v>
      </c>
      <c r="D12" s="2">
        <v>1.1984050000000001E-7</v>
      </c>
      <c r="E12" s="2">
        <f t="shared" si="0"/>
        <v>3.4877639999999999E-7</v>
      </c>
      <c r="F12">
        <f t="shared" si="1"/>
        <v>0.98759057183607712</v>
      </c>
      <c r="G12">
        <v>61</v>
      </c>
      <c r="H12" s="1">
        <f t="shared" si="2"/>
        <v>61.766486780642275</v>
      </c>
      <c r="I12">
        <f t="shared" si="3"/>
        <v>4.2557188415622567E-2</v>
      </c>
    </row>
    <row r="13" spans="1:9" x14ac:dyDescent="0.25">
      <c r="A13">
        <v>105</v>
      </c>
      <c r="B13" s="2">
        <v>9.6003789999999997E-8</v>
      </c>
      <c r="C13" s="2">
        <v>1.203272E-7</v>
      </c>
      <c r="D13" s="2">
        <v>1.2245839999999999E-7</v>
      </c>
      <c r="E13" s="2">
        <f t="shared" si="0"/>
        <v>3.3878938999999999E-7</v>
      </c>
      <c r="F13">
        <f t="shared" si="1"/>
        <v>0.95931148839799874</v>
      </c>
      <c r="G13">
        <v>51</v>
      </c>
      <c r="H13" s="1">
        <f t="shared" si="2"/>
        <v>53.163128573772632</v>
      </c>
      <c r="I13">
        <f t="shared" si="3"/>
        <v>3.6629463603992336E-2</v>
      </c>
    </row>
    <row r="14" spans="1:9" x14ac:dyDescent="0.25">
      <c r="A14">
        <v>110</v>
      </c>
      <c r="B14" s="2">
        <v>8.4786580000000002E-8</v>
      </c>
      <c r="C14" s="2">
        <v>1.1568549999999999E-7</v>
      </c>
      <c r="D14" s="2">
        <v>1.233991E-7</v>
      </c>
      <c r="E14" s="2">
        <f t="shared" si="0"/>
        <v>3.2387117999999999E-7</v>
      </c>
      <c r="F14">
        <f t="shared" si="1"/>
        <v>0.91706928524242204</v>
      </c>
      <c r="G14">
        <v>38</v>
      </c>
      <c r="H14" s="1">
        <f t="shared" si="2"/>
        <v>41.436345771797292</v>
      </c>
      <c r="I14">
        <f t="shared" si="3"/>
        <v>2.8549695250239166E-2</v>
      </c>
    </row>
    <row r="15" spans="1:9" x14ac:dyDescent="0.25">
      <c r="A15">
        <v>115</v>
      </c>
      <c r="B15" s="2">
        <v>7.3038879999999998E-8</v>
      </c>
      <c r="C15" s="2">
        <v>1.092219E-7</v>
      </c>
      <c r="D15" s="2">
        <v>1.2262339999999999E-7</v>
      </c>
      <c r="E15" s="2">
        <f t="shared" si="0"/>
        <v>3.0488418000000004E-7</v>
      </c>
      <c r="F15">
        <f t="shared" si="1"/>
        <v>0.86330595094729323</v>
      </c>
      <c r="G15">
        <v>22</v>
      </c>
      <c r="H15" s="1">
        <f t="shared" si="2"/>
        <v>25.483433741954073</v>
      </c>
      <c r="I15">
        <f t="shared" si="3"/>
        <v>1.7558118451594665E-2</v>
      </c>
    </row>
    <row r="16" spans="1:9" x14ac:dyDescent="0.25">
      <c r="A16">
        <v>120</v>
      </c>
      <c r="B16" s="2">
        <v>6.1371859999999997E-8</v>
      </c>
      <c r="C16" s="2">
        <v>1.0126439999999999E-7</v>
      </c>
      <c r="D16" s="2">
        <v>1.2016369999999999E-7</v>
      </c>
      <c r="E16" s="2">
        <f t="shared" si="0"/>
        <v>2.8279995999999998E-7</v>
      </c>
      <c r="F16">
        <f t="shared" si="1"/>
        <v>0.80077257008105973</v>
      </c>
      <c r="G16">
        <v>25</v>
      </c>
      <c r="H16" s="1">
        <f t="shared" si="2"/>
        <v>31.219850596867133</v>
      </c>
      <c r="I16">
        <f t="shared" si="3"/>
        <v>2.1510517003775192E-2</v>
      </c>
    </row>
    <row r="17" spans="1:9" x14ac:dyDescent="0.25">
      <c r="A17">
        <v>125</v>
      </c>
      <c r="B17" s="2">
        <v>5.0300549999999997E-8</v>
      </c>
      <c r="C17" s="2">
        <v>9.2197679999999993E-8</v>
      </c>
      <c r="D17" s="2">
        <v>1.161212E-7</v>
      </c>
      <c r="E17" s="2">
        <f t="shared" si="0"/>
        <v>2.5861943000000002E-7</v>
      </c>
      <c r="F17">
        <f t="shared" si="1"/>
        <v>0.73230330596227367</v>
      </c>
      <c r="G17">
        <v>19</v>
      </c>
      <c r="H17" s="1">
        <f t="shared" si="2"/>
        <v>25.945533558712118</v>
      </c>
      <c r="I17">
        <f t="shared" si="3"/>
        <v>1.7876505816549346E-2</v>
      </c>
    </row>
    <row r="18" spans="1:9" x14ac:dyDescent="0.25">
      <c r="A18">
        <v>130</v>
      </c>
      <c r="B18" s="2">
        <v>4.0212810000000003E-8</v>
      </c>
      <c r="C18" s="2">
        <v>8.2432630000000002E-8</v>
      </c>
      <c r="D18" s="2">
        <v>1.1065939999999999E-7</v>
      </c>
      <c r="E18" s="2">
        <f t="shared" si="0"/>
        <v>2.3330483999999999E-7</v>
      </c>
      <c r="F18">
        <f t="shared" si="1"/>
        <v>0.66062285277250543</v>
      </c>
      <c r="G18">
        <v>21</v>
      </c>
      <c r="H18" s="1">
        <f t="shared" si="2"/>
        <v>31.788182791235712</v>
      </c>
      <c r="I18">
        <f t="shared" si="3"/>
        <v>2.1902098612816747E-2</v>
      </c>
    </row>
    <row r="19" spans="1:9" x14ac:dyDescent="0.25">
      <c r="A19">
        <v>135</v>
      </c>
      <c r="B19" s="2">
        <v>3.1357699999999999E-8</v>
      </c>
      <c r="C19" s="2">
        <v>7.2375969999999996E-8</v>
      </c>
      <c r="D19" s="2">
        <v>1.0399269999999999E-7</v>
      </c>
      <c r="E19" s="2">
        <f t="shared" si="0"/>
        <v>2.0772636999999998E-7</v>
      </c>
      <c r="F19">
        <f t="shared" si="1"/>
        <v>0.5881952005173875</v>
      </c>
      <c r="G19">
        <v>16</v>
      </c>
      <c r="H19" s="1">
        <f t="shared" si="2"/>
        <v>27.201854054446724</v>
      </c>
      <c r="I19">
        <f t="shared" si="3"/>
        <v>1.8742112245441173E-2</v>
      </c>
    </row>
    <row r="20" spans="1:9" x14ac:dyDescent="0.25">
      <c r="A20">
        <v>140</v>
      </c>
      <c r="B20" s="2">
        <v>2.3851319999999999E-8</v>
      </c>
      <c r="C20" s="2">
        <v>6.2403029999999996E-8</v>
      </c>
      <c r="D20" s="2">
        <v>9.6373199999999996E-8</v>
      </c>
      <c r="E20" s="2">
        <f t="shared" si="0"/>
        <v>1.8262754999999999E-7</v>
      </c>
      <c r="F20">
        <f t="shared" si="1"/>
        <v>0.51712571876285718</v>
      </c>
      <c r="G20">
        <v>22</v>
      </c>
      <c r="H20" s="1">
        <f t="shared" si="2"/>
        <v>42.54284635587566</v>
      </c>
      <c r="I20">
        <f t="shared" si="3"/>
        <v>2.9312075568320935E-2</v>
      </c>
    </row>
    <row r="21" spans="1:9" x14ac:dyDescent="0.25">
      <c r="A21">
        <v>145</v>
      </c>
      <c r="B21" s="2">
        <v>1.7695740000000002E-8</v>
      </c>
      <c r="C21" s="2">
        <v>5.2836370000000003E-8</v>
      </c>
      <c r="D21" s="2">
        <v>8.8074030000000001E-8</v>
      </c>
      <c r="E21" s="2">
        <f t="shared" si="0"/>
        <v>1.5860613999999999E-7</v>
      </c>
      <c r="F21">
        <f t="shared" si="1"/>
        <v>0.44910701669984809</v>
      </c>
      <c r="G21">
        <v>21</v>
      </c>
      <c r="H21" s="1">
        <f t="shared" si="2"/>
        <v>46.759456475014147</v>
      </c>
      <c r="I21">
        <f t="shared" si="3"/>
        <v>3.2217325335119014E-2</v>
      </c>
    </row>
    <row r="22" spans="1:9" x14ac:dyDescent="0.25">
      <c r="A22">
        <v>150</v>
      </c>
      <c r="B22" s="2">
        <v>1.2806000000000001E-8</v>
      </c>
      <c r="C22" s="2">
        <v>4.3931530000000002E-8</v>
      </c>
      <c r="D22" s="2">
        <v>7.9373909999999998E-8</v>
      </c>
      <c r="E22" s="2">
        <f t="shared" si="0"/>
        <v>1.3611144E-7</v>
      </c>
      <c r="F22">
        <f t="shared" si="1"/>
        <v>0.38541132617640389</v>
      </c>
      <c r="G22">
        <v>13</v>
      </c>
      <c r="H22" s="1">
        <f t="shared" si="2"/>
        <v>33.730197109074737</v>
      </c>
      <c r="I22">
        <f t="shared" si="3"/>
        <v>2.3240148962412051E-2</v>
      </c>
    </row>
    <row r="23" spans="1:9" x14ac:dyDescent="0.25">
      <c r="A23">
        <v>155</v>
      </c>
      <c r="B23" s="2">
        <v>9.0395369999999999E-9</v>
      </c>
      <c r="C23" s="2">
        <v>3.5870370000000002E-8</v>
      </c>
      <c r="D23" s="2">
        <v>7.0541720000000001E-8</v>
      </c>
      <c r="E23" s="2">
        <f t="shared" si="0"/>
        <v>1.15451627E-7</v>
      </c>
      <c r="F23">
        <f t="shared" si="1"/>
        <v>0.3269112770483768</v>
      </c>
      <c r="G23">
        <v>8</v>
      </c>
      <c r="H23" s="1">
        <f t="shared" si="2"/>
        <v>24.471471502086324</v>
      </c>
      <c r="I23">
        <f t="shared" si="3"/>
        <v>1.6860875173625937E-2</v>
      </c>
    </row>
    <row r="24" spans="1:9" x14ac:dyDescent="0.25">
      <c r="A24">
        <v>160</v>
      </c>
      <c r="B24" s="2">
        <v>6.2239659999999999E-9</v>
      </c>
      <c r="C24" s="2">
        <v>2.8761479999999999E-8</v>
      </c>
      <c r="D24" s="2">
        <v>6.1823360000000006E-8</v>
      </c>
      <c r="E24" s="2">
        <f t="shared" si="0"/>
        <v>9.6808806000000014E-8</v>
      </c>
      <c r="F24">
        <f t="shared" si="1"/>
        <v>0.2741225153889652</v>
      </c>
      <c r="G24">
        <v>7</v>
      </c>
      <c r="H24" s="1">
        <f t="shared" si="2"/>
        <v>25.536027166784802</v>
      </c>
      <c r="I24">
        <f t="shared" si="3"/>
        <v>1.7594355388590825E-2</v>
      </c>
    </row>
    <row r="25" spans="1:9" x14ac:dyDescent="0.25">
      <c r="A25">
        <v>165</v>
      </c>
      <c r="B25" s="2">
        <v>4.1800019999999999E-9</v>
      </c>
      <c r="C25" s="2">
        <v>2.2646589999999999E-8</v>
      </c>
      <c r="D25" s="2">
        <v>5.3431519999999997E-8</v>
      </c>
      <c r="E25" s="2">
        <f t="shared" si="0"/>
        <v>8.0258111999999999E-8</v>
      </c>
      <c r="F25">
        <f t="shared" si="1"/>
        <v>0.2272577924554641</v>
      </c>
      <c r="G25">
        <v>8</v>
      </c>
      <c r="H25" s="1">
        <f t="shared" si="2"/>
        <v>35.2023132565092</v>
      </c>
      <c r="I25">
        <f t="shared" si="3"/>
        <v>2.4254438871413049E-2</v>
      </c>
    </row>
    <row r="26" spans="1:9" x14ac:dyDescent="0.25">
      <c r="A26">
        <v>170</v>
      </c>
      <c r="B26" s="2">
        <v>2.738256E-9</v>
      </c>
      <c r="C26" s="2">
        <v>1.7510980000000001E-8</v>
      </c>
      <c r="D26" s="2">
        <v>4.5538719999999998E-8</v>
      </c>
      <c r="E26" s="2">
        <f t="shared" si="0"/>
        <v>6.5787956000000006E-8</v>
      </c>
      <c r="F26">
        <f t="shared" si="1"/>
        <v>0.18628429299105873</v>
      </c>
      <c r="G26">
        <v>7</v>
      </c>
      <c r="H26" s="1">
        <f t="shared" si="2"/>
        <v>37.576973815693556</v>
      </c>
      <c r="I26">
        <f t="shared" si="3"/>
        <v>2.5890583034820901E-2</v>
      </c>
    </row>
    <row r="27" spans="1:9" x14ac:dyDescent="0.25">
      <c r="A27">
        <v>175</v>
      </c>
      <c r="B27" s="2">
        <v>1.749685E-9</v>
      </c>
      <c r="C27" s="2">
        <v>1.3296400000000001E-8</v>
      </c>
      <c r="D27" s="2">
        <v>3.8273879999999997E-8</v>
      </c>
      <c r="E27" s="2">
        <f t="shared" si="0"/>
        <v>5.3319964999999996E-8</v>
      </c>
      <c r="F27">
        <f t="shared" si="1"/>
        <v>0.15098009706112459</v>
      </c>
      <c r="G27">
        <v>7</v>
      </c>
      <c r="H27" s="1">
        <f t="shared" si="2"/>
        <v>46.363726982941579</v>
      </c>
      <c r="I27">
        <f t="shared" si="3"/>
        <v>3.1944667208786512E-2</v>
      </c>
    </row>
    <row r="28" spans="1:9" x14ac:dyDescent="0.25">
      <c r="A28">
        <v>180</v>
      </c>
      <c r="B28" s="2">
        <v>1.0905200000000001E-9</v>
      </c>
      <c r="C28" s="2">
        <v>9.9145650000000001E-9</v>
      </c>
      <c r="D28" s="2">
        <v>3.172213E-8</v>
      </c>
      <c r="E28" s="2">
        <f t="shared" si="0"/>
        <v>4.2727215000000002E-8</v>
      </c>
      <c r="F28">
        <f t="shared" si="1"/>
        <v>0.12098580837124592</v>
      </c>
      <c r="G28">
        <v>5</v>
      </c>
      <c r="H28" s="1">
        <f t="shared" si="2"/>
        <v>41.327161154781557</v>
      </c>
      <c r="I28">
        <f t="shared" si="3"/>
        <v>2.8474466909425025E-2</v>
      </c>
    </row>
    <row r="29" spans="1:9" x14ac:dyDescent="0.25">
      <c r="A29">
        <v>185</v>
      </c>
      <c r="B29" s="2">
        <v>6.6297329999999995E-10</v>
      </c>
      <c r="C29" s="2">
        <v>7.25988E-9</v>
      </c>
      <c r="D29" s="2">
        <v>2.5927499999999998E-8</v>
      </c>
      <c r="E29" s="2">
        <f t="shared" si="0"/>
        <v>3.3850353299999997E-8</v>
      </c>
      <c r="F29">
        <f t="shared" si="1"/>
        <v>9.5850205955449505E-2</v>
      </c>
      <c r="G29" s="47">
        <v>0</v>
      </c>
      <c r="H29" s="1">
        <f t="shared" si="2"/>
        <v>0</v>
      </c>
      <c r="I29">
        <f t="shared" si="3"/>
        <v>0</v>
      </c>
    </row>
    <row r="30" spans="1:9" x14ac:dyDescent="0.25">
      <c r="A30">
        <v>190</v>
      </c>
      <c r="B30" s="2">
        <v>3.9313929999999998E-10</v>
      </c>
      <c r="C30" s="2">
        <v>5.2203689999999999E-9</v>
      </c>
      <c r="D30" s="2">
        <v>2.0897640000000001E-8</v>
      </c>
      <c r="E30" s="2">
        <f t="shared" si="0"/>
        <v>2.6511148300000001E-8</v>
      </c>
      <c r="F30">
        <f t="shared" si="1"/>
        <v>7.5068611607975899E-2</v>
      </c>
      <c r="G30">
        <v>1</v>
      </c>
      <c r="H30" s="1">
        <f t="shared" si="2"/>
        <v>13.321146862582335</v>
      </c>
      <c r="I30">
        <f t="shared" si="3"/>
        <v>9.1782872313334596E-3</v>
      </c>
    </row>
    <row r="31" spans="1:9" x14ac:dyDescent="0.25">
      <c r="A31">
        <v>195</v>
      </c>
      <c r="B31" s="2">
        <v>2.273972E-10</v>
      </c>
      <c r="C31" s="2">
        <v>3.6862860000000001E-9</v>
      </c>
      <c r="D31" s="2">
        <v>1.66101E-8</v>
      </c>
      <c r="E31" s="2">
        <f t="shared" si="0"/>
        <v>2.0523783199999999E-8</v>
      </c>
      <c r="F31">
        <f t="shared" si="1"/>
        <v>5.8114868972578629E-2</v>
      </c>
      <c r="G31" s="47">
        <v>0</v>
      </c>
      <c r="H31" s="1">
        <f t="shared" si="2"/>
        <v>0</v>
      </c>
      <c r="I31">
        <f t="shared" si="3"/>
        <v>0</v>
      </c>
    </row>
    <row r="32" spans="1:9" x14ac:dyDescent="0.25">
      <c r="A32">
        <v>200</v>
      </c>
      <c r="B32" s="2">
        <v>1.2829570000000001E-10</v>
      </c>
      <c r="C32" s="2">
        <v>2.5561890000000001E-9</v>
      </c>
      <c r="D32" s="2">
        <v>1.3019239999999999E-8</v>
      </c>
      <c r="E32" s="2">
        <f t="shared" si="0"/>
        <v>1.5703724699999999E-8</v>
      </c>
      <c r="F32">
        <f t="shared" si="1"/>
        <v>4.4466456034379993E-2</v>
      </c>
      <c r="G32">
        <v>2</v>
      </c>
      <c r="H32" s="1">
        <f t="shared" si="2"/>
        <v>44.977724297471923</v>
      </c>
      <c r="I32">
        <f t="shared" si="3"/>
        <v>3.0989709585252437E-2</v>
      </c>
    </row>
    <row r="33" spans="1:9" x14ac:dyDescent="0.25">
      <c r="A33">
        <v>205</v>
      </c>
      <c r="B33" s="2">
        <v>7.060366E-11</v>
      </c>
      <c r="C33" s="2">
        <v>1.7406549999999999E-9</v>
      </c>
      <c r="D33" s="2">
        <v>1.006322E-8</v>
      </c>
      <c r="E33" s="2">
        <f t="shared" si="0"/>
        <v>1.1874478659999999E-8</v>
      </c>
      <c r="F33">
        <f t="shared" si="1"/>
        <v>3.3623614356030666E-2</v>
      </c>
      <c r="G33" s="47">
        <v>0</v>
      </c>
      <c r="H33" s="1">
        <f t="shared" si="2"/>
        <v>0</v>
      </c>
      <c r="I33">
        <f t="shared" si="3"/>
        <v>0</v>
      </c>
    </row>
    <row r="34" spans="1:9" x14ac:dyDescent="0.25">
      <c r="A34">
        <v>210</v>
      </c>
      <c r="B34" s="2">
        <v>3.789925E-11</v>
      </c>
      <c r="C34" s="2">
        <v>1.1639889999999999E-9</v>
      </c>
      <c r="D34" s="2">
        <v>7.6705610000000003E-9</v>
      </c>
      <c r="E34" s="2">
        <f t="shared" si="0"/>
        <v>8.8724492500000001E-9</v>
      </c>
      <c r="F34">
        <f t="shared" si="1"/>
        <v>2.5123108181614565E-2</v>
      </c>
      <c r="G34" s="47">
        <v>0</v>
      </c>
      <c r="H34" s="1">
        <f t="shared" si="2"/>
        <v>0</v>
      </c>
      <c r="I34">
        <f t="shared" si="3"/>
        <v>0</v>
      </c>
    </row>
    <row r="35" spans="1:9" x14ac:dyDescent="0.25">
      <c r="A35">
        <v>215</v>
      </c>
      <c r="B35" s="2">
        <v>1.9843680000000001E-11</v>
      </c>
      <c r="C35" s="2">
        <v>7.6436510000000001E-10</v>
      </c>
      <c r="D35" s="2">
        <v>5.7657449999999999E-9</v>
      </c>
      <c r="E35" s="2">
        <f t="shared" si="0"/>
        <v>6.5499537799999996E-9</v>
      </c>
      <c r="F35">
        <f t="shared" si="1"/>
        <v>1.8546761188801979E-2</v>
      </c>
      <c r="G35">
        <v>1</v>
      </c>
      <c r="H35" s="1">
        <f t="shared" si="2"/>
        <v>53.917769783102202</v>
      </c>
      <c r="I35">
        <f t="shared" si="3"/>
        <v>3.7149412362704914E-2</v>
      </c>
    </row>
    <row r="36" spans="1:9" x14ac:dyDescent="0.25">
      <c r="A36" t="s">
        <v>5</v>
      </c>
      <c r="E36" s="2">
        <f>MAX(E2:E35)</f>
        <v>3.531589E-7</v>
      </c>
      <c r="G36">
        <f>SUM(G2:G35)</f>
        <v>985</v>
      </c>
      <c r="H36" s="1">
        <f>SUM(H2:H35)</f>
        <v>1451.3761148273613</v>
      </c>
    </row>
    <row r="39" spans="1:9" x14ac:dyDescent="0.25">
      <c r="A39">
        <v>50</v>
      </c>
      <c r="B39" s="1">
        <v>18</v>
      </c>
      <c r="C39">
        <f>B39/$B$56</f>
        <v>1.2401286088460722E-2</v>
      </c>
    </row>
    <row r="40" spans="1:9" x14ac:dyDescent="0.25">
      <c r="A40">
        <v>60</v>
      </c>
      <c r="B40" s="1">
        <f>H4+H5</f>
        <v>100.46986617055741</v>
      </c>
      <c r="C40">
        <f t="shared" ref="C40:C55" si="4">B40/$B$56</f>
        <v>6.9219752980580224E-2</v>
      </c>
    </row>
    <row r="41" spans="1:9" x14ac:dyDescent="0.25">
      <c r="A41">
        <v>70</v>
      </c>
      <c r="B41" s="1">
        <f>H6+H7</f>
        <v>191.76842217875088</v>
      </c>
      <c r="C41">
        <f t="shared" si="4"/>
        <v>0.13212083700952254</v>
      </c>
    </row>
    <row r="42" spans="1:9" x14ac:dyDescent="0.25">
      <c r="A42">
        <v>80</v>
      </c>
      <c r="B42" s="1">
        <f>H8+H9</f>
        <v>256.33263972039481</v>
      </c>
      <c r="C42">
        <f t="shared" si="4"/>
        <v>0.17660302216571924</v>
      </c>
    </row>
    <row r="43" spans="1:9" x14ac:dyDescent="0.25">
      <c r="A43">
        <v>90</v>
      </c>
      <c r="B43" s="1">
        <f>H10+H11</f>
        <v>141.37644441991642</v>
      </c>
      <c r="C43">
        <f t="shared" si="4"/>
        <v>9.740276296781944E-2</v>
      </c>
    </row>
    <row r="44" spans="1:9" x14ac:dyDescent="0.25">
      <c r="A44">
        <v>100</v>
      </c>
      <c r="B44" s="1">
        <f>H12+H13</f>
        <v>114.92961535441491</v>
      </c>
      <c r="C44">
        <f t="shared" si="4"/>
        <v>7.9181946669269296E-2</v>
      </c>
    </row>
    <row r="45" spans="1:9" x14ac:dyDescent="0.25">
      <c r="A45">
        <v>110</v>
      </c>
      <c r="B45" s="1">
        <f>H14+H15</f>
        <v>66.919779513751365</v>
      </c>
      <c r="C45">
        <f t="shared" si="4"/>
        <v>4.6105073929263538E-2</v>
      </c>
    </row>
    <row r="46" spans="1:9" x14ac:dyDescent="0.25">
      <c r="A46">
        <v>120</v>
      </c>
      <c r="B46" s="1">
        <f>H16+H17</f>
        <v>57.165384155579247</v>
      </c>
      <c r="C46">
        <f t="shared" si="4"/>
        <v>3.9384682403894325E-2</v>
      </c>
    </row>
    <row r="47" spans="1:9" x14ac:dyDescent="0.25">
      <c r="A47">
        <v>130</v>
      </c>
      <c r="B47" s="1">
        <f>H18+H19</f>
        <v>58.99003684568244</v>
      </c>
      <c r="C47">
        <f t="shared" si="4"/>
        <v>4.0641795738452613E-2</v>
      </c>
    </row>
    <row r="48" spans="1:9" x14ac:dyDescent="0.25">
      <c r="A48">
        <v>140</v>
      </c>
      <c r="B48" s="1">
        <f>H20+H21</f>
        <v>89.302302830889801</v>
      </c>
      <c r="C48">
        <f t="shared" si="4"/>
        <v>6.1525744764678904E-2</v>
      </c>
    </row>
    <row r="49" spans="1:3" x14ac:dyDescent="0.25">
      <c r="A49">
        <v>150</v>
      </c>
      <c r="B49" s="1">
        <f>H22+H23</f>
        <v>58.201668611161061</v>
      </c>
      <c r="C49">
        <f t="shared" si="4"/>
        <v>4.0098641292932932E-2</v>
      </c>
    </row>
    <row r="50" spans="1:3" x14ac:dyDescent="0.25">
      <c r="A50">
        <v>160</v>
      </c>
      <c r="B50" s="1">
        <f>H24+H25</f>
        <v>60.738340423294005</v>
      </c>
      <c r="C50">
        <f t="shared" si="4"/>
        <v>4.184630756264375E-2</v>
      </c>
    </row>
    <row r="51" spans="1:3" x14ac:dyDescent="0.25">
      <c r="A51">
        <v>170</v>
      </c>
      <c r="B51" s="1">
        <f>H26+H27</f>
        <v>83.940700798635135</v>
      </c>
      <c r="C51">
        <f t="shared" si="4"/>
        <v>5.7831813614986537E-2</v>
      </c>
    </row>
    <row r="52" spans="1:3" x14ac:dyDescent="0.25">
      <c r="A52">
        <v>180</v>
      </c>
      <c r="B52" s="1">
        <f>H28+H29</f>
        <v>41.327161154781557</v>
      </c>
      <c r="C52">
        <f t="shared" si="4"/>
        <v>2.8472774928020382E-2</v>
      </c>
    </row>
    <row r="53" spans="1:3" x14ac:dyDescent="0.25">
      <c r="A53">
        <v>190</v>
      </c>
      <c r="B53" s="1">
        <v>13</v>
      </c>
      <c r="C53">
        <f t="shared" si="4"/>
        <v>8.956484397221633E-3</v>
      </c>
    </row>
    <row r="54" spans="1:3" x14ac:dyDescent="0.25">
      <c r="A54">
        <v>200</v>
      </c>
      <c r="B54" s="1">
        <v>45</v>
      </c>
      <c r="C54">
        <f t="shared" si="4"/>
        <v>3.1003215221151806E-2</v>
      </c>
    </row>
    <row r="55" spans="1:3" x14ac:dyDescent="0.25">
      <c r="A55">
        <v>210</v>
      </c>
      <c r="B55" s="1">
        <v>54</v>
      </c>
      <c r="C55">
        <f t="shared" si="4"/>
        <v>3.7203858265382167E-2</v>
      </c>
    </row>
    <row r="56" spans="1:3" x14ac:dyDescent="0.25">
      <c r="B56" s="1">
        <f>SUM(B39:B55)</f>
        <v>1451.4623621778089</v>
      </c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C0724-C279-4CAC-A714-5F2F6B70C9E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5"/>
  <sheetViews>
    <sheetView workbookViewId="0">
      <selection activeCell="S2" sqref="S2"/>
    </sheetView>
  </sheetViews>
  <sheetFormatPr defaultRowHeight="15" x14ac:dyDescent="0.25"/>
  <cols>
    <col min="19" max="19" width="22.7109375" bestFit="1" customWidth="1"/>
    <col min="21" max="21" width="9.140625" style="1"/>
  </cols>
  <sheetData>
    <row r="1" spans="1:22" x14ac:dyDescent="0.25"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>
        <v>16</v>
      </c>
      <c r="P1">
        <v>17</v>
      </c>
      <c r="Q1">
        <v>18</v>
      </c>
      <c r="R1">
        <v>19</v>
      </c>
      <c r="S1" t="s">
        <v>58</v>
      </c>
      <c r="T1" t="s">
        <v>10</v>
      </c>
    </row>
    <row r="2" spans="1:22" x14ac:dyDescent="0.25">
      <c r="A2">
        <v>50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1">
        <v>2.0342660499488869</v>
      </c>
      <c r="T2">
        <v>3</v>
      </c>
      <c r="U2" s="1">
        <f>(B2*S2)+(B3*S3)+(B4*S4)+(B5*S5)+(B6*S6)</f>
        <v>45.234346475995807</v>
      </c>
      <c r="V2">
        <f>U2/$U$30</f>
        <v>3.123411357357379E-2</v>
      </c>
    </row>
    <row r="3" spans="1:22" x14ac:dyDescent="0.25">
      <c r="A3">
        <v>55</v>
      </c>
      <c r="B3">
        <v>0.7</v>
      </c>
      <c r="C3">
        <v>0.3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s="1">
        <v>15.662845656447329</v>
      </c>
      <c r="T3">
        <v>4</v>
      </c>
      <c r="U3" s="1">
        <f>(C3*S3)+(S4*C4)+(C5*S5)+(C6*S6)</f>
        <v>52.94524468309092</v>
      </c>
      <c r="V3">
        <f t="shared" ref="V3:V29" si="0">U3/$U$30</f>
        <v>3.6558454237641563E-2</v>
      </c>
    </row>
    <row r="4" spans="1:22" x14ac:dyDescent="0.25">
      <c r="A4">
        <v>60</v>
      </c>
      <c r="B4">
        <v>0.476190476190476</v>
      </c>
      <c r="C4">
        <v>0.476190476190476</v>
      </c>
      <c r="D4">
        <v>4.7619047619047603E-2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s="1">
        <v>41.003028240529552</v>
      </c>
      <c r="T4">
        <v>5</v>
      </c>
      <c r="U4" s="1">
        <f>(D4+S4)+(D5*S5)+(D6*S6)+(D7*S7)+(D8*S8)+(D11*S11)</f>
        <v>127.90839729601674</v>
      </c>
      <c r="V4">
        <f t="shared" si="0"/>
        <v>8.8320175251733551E-2</v>
      </c>
    </row>
    <row r="5" spans="1:22" x14ac:dyDescent="0.25">
      <c r="A5">
        <v>65</v>
      </c>
      <c r="B5">
        <v>0.115384615384615</v>
      </c>
      <c r="C5">
        <v>0.38461538461538503</v>
      </c>
      <c r="D5">
        <v>0.30769230769230799</v>
      </c>
      <c r="E5">
        <v>0.15384615384615399</v>
      </c>
      <c r="F5">
        <v>0</v>
      </c>
      <c r="G5">
        <v>3.8461538461538498E-2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s="1">
        <v>59.466837930027857</v>
      </c>
      <c r="T5">
        <v>6</v>
      </c>
      <c r="U5" s="1">
        <f>(E5*S5)+(E6*S6)+(E7*S7)+(E8*S8)+(E9*S9)+(E10*S10)</f>
        <v>121.55487579752611</v>
      </c>
      <c r="V5">
        <f t="shared" si="0"/>
        <v>8.3933097123362499E-2</v>
      </c>
    </row>
    <row r="6" spans="1:22" x14ac:dyDescent="0.25">
      <c r="A6">
        <v>70</v>
      </c>
      <c r="B6">
        <v>7.69230769230769E-2</v>
      </c>
      <c r="C6">
        <v>7.69230769230769E-2</v>
      </c>
      <c r="D6">
        <v>0.230769230769231</v>
      </c>
      <c r="E6">
        <v>0.42307692307692302</v>
      </c>
      <c r="F6">
        <v>0.15384615384615399</v>
      </c>
      <c r="G6">
        <v>3.8461538461538498E-2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s="1">
        <v>76.040623109476883</v>
      </c>
      <c r="T6">
        <v>7</v>
      </c>
      <c r="U6" s="1">
        <f>(F6*S6)+(F7*S7)+(F8*S8)+(F9*S9)+(F10*S10)+(F11*S11)+(F15*S15)</f>
        <v>164.18785022379444</v>
      </c>
      <c r="V6">
        <f t="shared" si="0"/>
        <v>0.11337097495179459</v>
      </c>
    </row>
    <row r="7" spans="1:22" x14ac:dyDescent="0.25">
      <c r="A7">
        <v>75</v>
      </c>
      <c r="B7">
        <v>0</v>
      </c>
      <c r="C7">
        <v>0</v>
      </c>
      <c r="D7">
        <v>0.18918918918918901</v>
      </c>
      <c r="E7">
        <v>0.29729729729729698</v>
      </c>
      <c r="F7">
        <v>0.24324324324324301</v>
      </c>
      <c r="G7">
        <v>0.18918918918918901</v>
      </c>
      <c r="H7">
        <v>8.1081081081081099E-2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s="1">
        <v>115.72779906927398</v>
      </c>
      <c r="T7">
        <v>8</v>
      </c>
      <c r="U7" s="1">
        <f>(G5*S5)+(G6*S6)+(G7*S7)+(G8*S8)+(G9*S9)+(G10*S10)+(G11*S11)+(G12*S12)+(G13*S13)+(G15*S15)</f>
        <v>181.24054634709572</v>
      </c>
      <c r="V7">
        <f t="shared" si="0"/>
        <v>0.12514578522198339</v>
      </c>
    </row>
    <row r="8" spans="1:22" x14ac:dyDescent="0.25">
      <c r="A8">
        <v>80</v>
      </c>
      <c r="B8">
        <v>0</v>
      </c>
      <c r="C8">
        <v>0</v>
      </c>
      <c r="D8">
        <v>0.16129032258064499</v>
      </c>
      <c r="E8">
        <v>0.25806451612903197</v>
      </c>
      <c r="F8">
        <v>0.38709677419354799</v>
      </c>
      <c r="G8">
        <v>0.16129032258064499</v>
      </c>
      <c r="H8">
        <v>0</v>
      </c>
      <c r="I8">
        <v>3.2258064516128997E-2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s="1">
        <v>143.33145640341885</v>
      </c>
      <c r="T8">
        <v>9</v>
      </c>
      <c r="U8" s="1">
        <f>(H7*S7)+(H9*S9)+(H10*S10)+(H11*S11)+(H12*S12)+(H13*S13)+(H14*S14)+(H15*S15)+(H16*S16)</f>
        <v>136.04174810406118</v>
      </c>
      <c r="V8">
        <f t="shared" si="0"/>
        <v>9.3936217543998932E-2</v>
      </c>
    </row>
    <row r="9" spans="1:22" x14ac:dyDescent="0.25">
      <c r="A9">
        <v>85</v>
      </c>
      <c r="B9">
        <v>0</v>
      </c>
      <c r="C9">
        <v>0</v>
      </c>
      <c r="D9">
        <v>0</v>
      </c>
      <c r="E9">
        <v>2.8571428571428598E-2</v>
      </c>
      <c r="F9">
        <v>0.314285714285714</v>
      </c>
      <c r="G9">
        <v>0.48571428571428599</v>
      </c>
      <c r="H9">
        <v>0.14285714285714299</v>
      </c>
      <c r="I9">
        <v>2.8571428571428598E-2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s="1">
        <v>113.00118331697594</v>
      </c>
      <c r="T9">
        <v>10</v>
      </c>
      <c r="U9" s="1">
        <f>(I8*S8)+(I9*S9)+(I10*S10)+(I11*S11)+(I12*S12)+(I13*S13)+(I14*S14)+(I15*S15)+(I16*S16)</f>
        <v>71.529747551702897</v>
      </c>
      <c r="V9">
        <f t="shared" si="0"/>
        <v>4.9390970202355867E-2</v>
      </c>
    </row>
    <row r="10" spans="1:22" x14ac:dyDescent="0.25">
      <c r="A10">
        <v>90</v>
      </c>
      <c r="B10">
        <v>0</v>
      </c>
      <c r="C10">
        <v>0</v>
      </c>
      <c r="D10">
        <v>0</v>
      </c>
      <c r="E10">
        <v>6.8965517241379296E-2</v>
      </c>
      <c r="F10">
        <v>0.24137931034482801</v>
      </c>
      <c r="G10">
        <v>0.34482758620689702</v>
      </c>
      <c r="H10">
        <v>0.27586206896551702</v>
      </c>
      <c r="I10">
        <v>6.8965517241379296E-2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s="1">
        <v>81.37644441991641</v>
      </c>
      <c r="T10">
        <v>11</v>
      </c>
      <c r="U10" s="1">
        <f>(J13*S13)+(J14*S14)+(J15*S15)+(J16*S16)+(J17*S17)</f>
        <v>52.498104806079297</v>
      </c>
      <c r="V10">
        <f t="shared" si="0"/>
        <v>3.6249706155931878E-2</v>
      </c>
    </row>
    <row r="11" spans="1:22" x14ac:dyDescent="0.25">
      <c r="A11">
        <v>95</v>
      </c>
      <c r="B11">
        <v>0</v>
      </c>
      <c r="C11">
        <v>0</v>
      </c>
      <c r="D11">
        <v>0.1</v>
      </c>
      <c r="E11">
        <v>0</v>
      </c>
      <c r="F11">
        <v>0.2</v>
      </c>
      <c r="G11">
        <v>0.3</v>
      </c>
      <c r="H11">
        <v>0.2</v>
      </c>
      <c r="I11">
        <v>0.2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s="1">
        <v>60</v>
      </c>
      <c r="T11">
        <v>12</v>
      </c>
      <c r="U11" s="1">
        <f>K12*S12+(K16*S16)+(K17*S17)+(K18*S18)</f>
        <v>33.518025963344684</v>
      </c>
      <c r="V11">
        <f t="shared" si="0"/>
        <v>2.3144046753425674E-2</v>
      </c>
    </row>
    <row r="12" spans="1:22" x14ac:dyDescent="0.25">
      <c r="A12">
        <v>100</v>
      </c>
      <c r="B12">
        <v>0</v>
      </c>
      <c r="C12">
        <v>0</v>
      </c>
      <c r="D12">
        <v>0</v>
      </c>
      <c r="E12">
        <v>0</v>
      </c>
      <c r="F12">
        <v>0</v>
      </c>
      <c r="G12">
        <v>0.28000000000000003</v>
      </c>
      <c r="H12">
        <v>0.4</v>
      </c>
      <c r="I12">
        <v>0.28000000000000003</v>
      </c>
      <c r="J12">
        <v>0</v>
      </c>
      <c r="K12">
        <v>0.04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s="1">
        <v>61.766486780642275</v>
      </c>
      <c r="T12">
        <v>13</v>
      </c>
      <c r="U12" s="1">
        <f>(L15*S15)+(L16*S16)+(L17*S17)+(L18*S18)+(L19*S19)+(L20*S20)+(L22*S22)+(L24*S24)</f>
        <v>91.783536741072595</v>
      </c>
      <c r="V12">
        <f t="shared" si="0"/>
        <v>6.3376120892477947E-2</v>
      </c>
    </row>
    <row r="13" spans="1:22" x14ac:dyDescent="0.25">
      <c r="A13">
        <v>105</v>
      </c>
      <c r="B13">
        <v>0</v>
      </c>
      <c r="C13">
        <v>0</v>
      </c>
      <c r="D13">
        <v>0</v>
      </c>
      <c r="E13">
        <v>0</v>
      </c>
      <c r="F13">
        <v>0</v>
      </c>
      <c r="G13">
        <v>0.20833333333333301</v>
      </c>
      <c r="H13">
        <v>0.54166666666666696</v>
      </c>
      <c r="I13">
        <v>0.125</v>
      </c>
      <c r="J13">
        <v>0.125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1">
        <v>53.163128573772632</v>
      </c>
      <c r="T13">
        <v>14</v>
      </c>
      <c r="U13" s="1">
        <f>(M20*S20)+(M21*S21)+(M22*S22)+(M23*S23)</f>
        <v>55.495248871636292</v>
      </c>
      <c r="V13">
        <f t="shared" si="0"/>
        <v>3.8319220704785745E-2</v>
      </c>
    </row>
    <row r="14" spans="1:22" x14ac:dyDescent="0.25">
      <c r="A14">
        <v>110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0.28571428571428598</v>
      </c>
      <c r="I14">
        <v>0.35714285714285698</v>
      </c>
      <c r="J14">
        <v>0.35714285714285698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s="1">
        <v>41.436345771797292</v>
      </c>
      <c r="T14">
        <v>15</v>
      </c>
      <c r="U14" s="1">
        <f>(N20*S20)+(N21*S21)+(N22*S22)+(N25*S25)+(N26*S26)</f>
        <v>105.01870244329911</v>
      </c>
      <c r="V14">
        <f t="shared" si="0"/>
        <v>7.2514943510989333E-2</v>
      </c>
    </row>
    <row r="15" spans="1:22" x14ac:dyDescent="0.25">
      <c r="A15">
        <v>115</v>
      </c>
      <c r="B15">
        <v>0</v>
      </c>
      <c r="C15">
        <v>0</v>
      </c>
      <c r="D15">
        <v>0</v>
      </c>
      <c r="E15">
        <v>0</v>
      </c>
      <c r="F15">
        <v>6.6666666666666693E-2</v>
      </c>
      <c r="G15">
        <v>6.6666666666666693E-2</v>
      </c>
      <c r="H15">
        <v>0.33333333333333298</v>
      </c>
      <c r="I15">
        <v>0.2</v>
      </c>
      <c r="J15">
        <v>0.266666666666667</v>
      </c>
      <c r="K15">
        <v>0</v>
      </c>
      <c r="L15">
        <v>6.6666666666666693E-2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s="1">
        <v>25.483433741954073</v>
      </c>
      <c r="T15">
        <v>16</v>
      </c>
      <c r="U15" s="1">
        <f>O25*S25</f>
        <v>7.0404626513018407</v>
      </c>
      <c r="V15">
        <f t="shared" si="0"/>
        <v>4.8614079166139895E-3</v>
      </c>
    </row>
    <row r="16" spans="1:22" x14ac:dyDescent="0.25">
      <c r="A16">
        <v>120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7.1428571428571397E-2</v>
      </c>
      <c r="I16">
        <v>7.1428571428571397E-2</v>
      </c>
      <c r="J16">
        <v>0.5</v>
      </c>
      <c r="K16">
        <v>0.28571428571428598</v>
      </c>
      <c r="L16">
        <v>7.1428571428571397E-2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s="1">
        <v>31.219850596867133</v>
      </c>
      <c r="T16">
        <v>17</v>
      </c>
      <c r="U16" s="1">
        <f>(P23*S23)+(P24*S24)+(P25*S25)+(P26*S26)+(P27*S27)</f>
        <v>90.933596907243498</v>
      </c>
      <c r="V16">
        <f t="shared" si="0"/>
        <v>6.2789241245291935E-2</v>
      </c>
    </row>
    <row r="17" spans="1:22" x14ac:dyDescent="0.25">
      <c r="A17">
        <v>125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0.33333333333333298</v>
      </c>
      <c r="K17">
        <v>0.44444444444444398</v>
      </c>
      <c r="L17">
        <v>0.22222222222222199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s="1">
        <v>25.945533558712118</v>
      </c>
      <c r="T17">
        <v>18</v>
      </c>
      <c r="U17" s="1">
        <f>Q28*S28</f>
        <v>20.663580577390778</v>
      </c>
      <c r="V17">
        <f t="shared" si="0"/>
        <v>1.4268109807520078E-2</v>
      </c>
    </row>
    <row r="18" spans="1:22" x14ac:dyDescent="0.25">
      <c r="A18">
        <v>130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0.33333333333333298</v>
      </c>
      <c r="L18">
        <v>0.66666666666666696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1">
        <v>31.788182791235712</v>
      </c>
      <c r="T18">
        <v>19</v>
      </c>
      <c r="U18" s="1">
        <f>R28*S28+R29*S32</f>
        <v>65.641304874862698</v>
      </c>
      <c r="V18">
        <f t="shared" si="0"/>
        <v>4.5325026916593895E-2</v>
      </c>
    </row>
    <row r="19" spans="1:22" x14ac:dyDescent="0.25">
      <c r="A19">
        <v>135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1">
        <v>27.201854054446724</v>
      </c>
      <c r="T19">
        <v>20</v>
      </c>
      <c r="V19">
        <f t="shared" si="0"/>
        <v>0</v>
      </c>
    </row>
    <row r="20" spans="1:22" x14ac:dyDescent="0.25">
      <c r="A20">
        <v>140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0.33333333333333298</v>
      </c>
      <c r="M20">
        <v>0.33333333333333298</v>
      </c>
      <c r="N20">
        <v>0.33333333333333298</v>
      </c>
      <c r="O20">
        <v>0</v>
      </c>
      <c r="P20">
        <v>0</v>
      </c>
      <c r="Q20">
        <v>0</v>
      </c>
      <c r="R20">
        <v>0</v>
      </c>
      <c r="S20" s="1">
        <v>42.54284635587566</v>
      </c>
      <c r="T20">
        <v>21</v>
      </c>
      <c r="V20">
        <f t="shared" si="0"/>
        <v>0</v>
      </c>
    </row>
    <row r="21" spans="1:22" x14ac:dyDescent="0.25">
      <c r="A21">
        <v>145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0.33333333333333298</v>
      </c>
      <c r="N21">
        <v>0.66666666666666696</v>
      </c>
      <c r="O21">
        <v>0</v>
      </c>
      <c r="P21">
        <v>0</v>
      </c>
      <c r="Q21">
        <v>0</v>
      </c>
      <c r="R21">
        <v>0</v>
      </c>
      <c r="S21" s="1">
        <v>46.759456475014147</v>
      </c>
      <c r="T21">
        <v>22</v>
      </c>
      <c r="V21">
        <f t="shared" si="0"/>
        <v>0</v>
      </c>
    </row>
    <row r="22" spans="1:22" x14ac:dyDescent="0.25">
      <c r="A22">
        <v>150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0.2</v>
      </c>
      <c r="M22">
        <v>0.4</v>
      </c>
      <c r="N22">
        <v>0.4</v>
      </c>
      <c r="O22">
        <v>0</v>
      </c>
      <c r="P22">
        <v>0</v>
      </c>
      <c r="Q22">
        <v>0</v>
      </c>
      <c r="R22">
        <v>0</v>
      </c>
      <c r="S22" s="1">
        <v>33.730197109074737</v>
      </c>
      <c r="T22">
        <v>23</v>
      </c>
      <c r="V22">
        <f t="shared" si="0"/>
        <v>0</v>
      </c>
    </row>
    <row r="23" spans="1:22" x14ac:dyDescent="0.25">
      <c r="A23">
        <v>155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0.5</v>
      </c>
      <c r="N23">
        <v>0</v>
      </c>
      <c r="O23">
        <v>0</v>
      </c>
      <c r="P23">
        <v>0.5</v>
      </c>
      <c r="Q23">
        <v>0</v>
      </c>
      <c r="R23">
        <v>0</v>
      </c>
      <c r="S23" s="1">
        <v>24.471471502086324</v>
      </c>
      <c r="T23">
        <v>24</v>
      </c>
      <c r="V23">
        <f t="shared" si="0"/>
        <v>0</v>
      </c>
    </row>
    <row r="24" spans="1:22" x14ac:dyDescent="0.25">
      <c r="A24">
        <v>160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0.5</v>
      </c>
      <c r="M24">
        <v>0</v>
      </c>
      <c r="N24">
        <v>0</v>
      </c>
      <c r="O24">
        <v>0</v>
      </c>
      <c r="P24">
        <v>0.5</v>
      </c>
      <c r="Q24">
        <v>0</v>
      </c>
      <c r="R24">
        <v>0</v>
      </c>
      <c r="S24" s="1">
        <v>25.536027166784802</v>
      </c>
      <c r="T24">
        <v>25</v>
      </c>
      <c r="V24">
        <f t="shared" si="0"/>
        <v>0</v>
      </c>
    </row>
    <row r="25" spans="1:22" x14ac:dyDescent="0.25">
      <c r="A25">
        <v>165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0.6</v>
      </c>
      <c r="O25">
        <v>0.2</v>
      </c>
      <c r="P25">
        <v>0.2</v>
      </c>
      <c r="Q25">
        <v>0</v>
      </c>
      <c r="R25">
        <v>0</v>
      </c>
      <c r="S25" s="1">
        <v>35.2023132565092</v>
      </c>
      <c r="T25">
        <v>26</v>
      </c>
      <c r="V25">
        <f t="shared" si="0"/>
        <v>0</v>
      </c>
    </row>
    <row r="26" spans="1:22" x14ac:dyDescent="0.25">
      <c r="A26">
        <v>170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0.66666666666666696</v>
      </c>
      <c r="O26">
        <v>0</v>
      </c>
      <c r="P26">
        <v>0.33333333333333298</v>
      </c>
      <c r="Q26">
        <v>0</v>
      </c>
      <c r="R26">
        <v>0</v>
      </c>
      <c r="S26" s="1">
        <v>37.576973815693556</v>
      </c>
      <c r="T26">
        <v>27</v>
      </c>
      <c r="V26">
        <f t="shared" si="0"/>
        <v>0</v>
      </c>
    </row>
    <row r="27" spans="1:22" x14ac:dyDescent="0.25">
      <c r="A27">
        <v>175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 s="1">
        <v>46.363726982941579</v>
      </c>
      <c r="T27">
        <v>28</v>
      </c>
      <c r="V27">
        <f t="shared" si="0"/>
        <v>0</v>
      </c>
    </row>
    <row r="28" spans="1:22" x14ac:dyDescent="0.25">
      <c r="A28">
        <v>180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0.5</v>
      </c>
      <c r="R28">
        <v>0.5</v>
      </c>
      <c r="S28" s="1">
        <v>41.327161154781557</v>
      </c>
      <c r="T28">
        <v>29</v>
      </c>
      <c r="U28" s="1">
        <v>25</v>
      </c>
      <c r="V28">
        <f t="shared" si="0"/>
        <v>1.7262387989925188E-2</v>
      </c>
    </row>
    <row r="29" spans="1:22" x14ac:dyDescent="0.25">
      <c r="A29">
        <v>200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 s="1">
        <v>0</v>
      </c>
      <c r="T29">
        <v>30</v>
      </c>
      <c r="V29">
        <f t="shared" si="0"/>
        <v>0</v>
      </c>
    </row>
    <row r="30" spans="1:22" x14ac:dyDescent="0.25">
      <c r="S30" s="1">
        <v>13.321146862582335</v>
      </c>
      <c r="U30" s="1">
        <f>SUM(U2:U29)</f>
        <v>1448.2353203155149</v>
      </c>
    </row>
    <row r="31" spans="1:22" x14ac:dyDescent="0.25">
      <c r="S31" s="1">
        <v>0</v>
      </c>
    </row>
    <row r="32" spans="1:22" x14ac:dyDescent="0.25">
      <c r="A32">
        <v>200</v>
      </c>
      <c r="S32" s="1">
        <v>44.977724297471923</v>
      </c>
    </row>
    <row r="33" spans="1:19" x14ac:dyDescent="0.25">
      <c r="S33" s="1">
        <v>0</v>
      </c>
    </row>
    <row r="34" spans="1:19" x14ac:dyDescent="0.25">
      <c r="S34" s="1">
        <v>0</v>
      </c>
    </row>
    <row r="35" spans="1:19" x14ac:dyDescent="0.25">
      <c r="A35">
        <v>215</v>
      </c>
      <c r="S35" s="1">
        <v>53.917769783102202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8"/>
  <sheetViews>
    <sheetView workbookViewId="0">
      <selection activeCell="L14" sqref="L14:L24"/>
    </sheetView>
  </sheetViews>
  <sheetFormatPr defaultRowHeight="15" x14ac:dyDescent="0.25"/>
  <cols>
    <col min="3" max="3" width="10.5703125" bestFit="1" customWidth="1"/>
    <col min="4" max="4" width="20.42578125" bestFit="1" customWidth="1"/>
    <col min="5" max="5" width="11.85546875" bestFit="1" customWidth="1"/>
    <col min="9" max="9" width="12" bestFit="1" customWidth="1"/>
    <col min="10" max="10" width="19.140625" bestFit="1" customWidth="1"/>
    <col min="11" max="11" width="20.5703125" bestFit="1" customWidth="1"/>
    <col min="12" max="12" width="31.85546875" bestFit="1" customWidth="1"/>
    <col min="13" max="13" width="20.140625" bestFit="1" customWidth="1"/>
  </cols>
  <sheetData>
    <row r="1" spans="1:13" x14ac:dyDescent="0.25">
      <c r="A1" t="s">
        <v>44</v>
      </c>
    </row>
    <row r="2" spans="1:13" x14ac:dyDescent="0.25">
      <c r="A2" t="s">
        <v>45</v>
      </c>
    </row>
    <row r="3" spans="1:13" x14ac:dyDescent="0.25">
      <c r="A3" s="4" t="s">
        <v>10</v>
      </c>
      <c r="B3" s="4" t="s">
        <v>46</v>
      </c>
      <c r="C3" s="4" t="s">
        <v>47</v>
      </c>
      <c r="D3" s="4" t="s">
        <v>48</v>
      </c>
      <c r="E3" s="4" t="s">
        <v>49</v>
      </c>
      <c r="F3" s="4" t="s">
        <v>50</v>
      </c>
      <c r="G3" s="4" t="s">
        <v>51</v>
      </c>
      <c r="H3" s="4" t="s">
        <v>52</v>
      </c>
      <c r="J3" s="5" t="s">
        <v>55</v>
      </c>
      <c r="K3" s="5" t="s">
        <v>54</v>
      </c>
      <c r="L3" s="5" t="s">
        <v>56</v>
      </c>
      <c r="M3" s="5" t="s">
        <v>57</v>
      </c>
    </row>
    <row r="4" spans="1:13" x14ac:dyDescent="0.25">
      <c r="A4" s="23">
        <v>0</v>
      </c>
      <c r="B4" s="22"/>
      <c r="C4" s="22"/>
      <c r="F4" s="22"/>
      <c r="G4" s="22"/>
      <c r="H4" s="22"/>
      <c r="J4" s="5">
        <v>0</v>
      </c>
      <c r="K4">
        <v>0</v>
      </c>
      <c r="L4">
        <v>0</v>
      </c>
    </row>
    <row r="5" spans="1:13" x14ac:dyDescent="0.25">
      <c r="A5" s="24">
        <v>1</v>
      </c>
      <c r="J5">
        <v>0</v>
      </c>
      <c r="K5">
        <v>0</v>
      </c>
      <c r="L5">
        <v>0</v>
      </c>
    </row>
    <row r="6" spans="1:13" x14ac:dyDescent="0.25">
      <c r="A6" s="24">
        <v>2</v>
      </c>
      <c r="J6">
        <v>0</v>
      </c>
      <c r="K6">
        <v>0</v>
      </c>
      <c r="L6">
        <v>0</v>
      </c>
    </row>
    <row r="7" spans="1:13" x14ac:dyDescent="0.25">
      <c r="A7" s="24">
        <v>3</v>
      </c>
      <c r="B7" s="47">
        <v>45.234346475995807</v>
      </c>
      <c r="C7">
        <f>B7/1423</f>
        <v>3.1788015794796773E-2</v>
      </c>
      <c r="D7">
        <f>48000*C7</f>
        <v>1525.8247581502451</v>
      </c>
      <c r="E7" s="21">
        <f>D7/2</f>
        <v>762.91237907512254</v>
      </c>
      <c r="F7">
        <v>63.090909090909101</v>
      </c>
      <c r="G7">
        <v>5.2759100895226902</v>
      </c>
      <c r="H7">
        <v>0.91841806141712501</v>
      </c>
      <c r="I7">
        <f t="shared" ref="I7:I23" si="0">LN(B7)</f>
        <v>3.8118566760647488</v>
      </c>
      <c r="J7">
        <v>0</v>
      </c>
      <c r="K7">
        <v>0</v>
      </c>
      <c r="L7">
        <v>0</v>
      </c>
    </row>
    <row r="8" spans="1:13" x14ac:dyDescent="0.25">
      <c r="A8" s="24">
        <v>4</v>
      </c>
      <c r="B8" s="47">
        <v>52.94524468309092</v>
      </c>
      <c r="C8">
        <f t="shared" ref="C8:C23" si="1">B8/1423</f>
        <v>3.7206777711237468E-2</v>
      </c>
      <c r="D8">
        <f t="shared" ref="D8:D23" si="2">48000*C8</f>
        <v>1785.9253301393985</v>
      </c>
      <c r="E8" s="21">
        <f t="shared" ref="E8:E23" si="3">D8/2</f>
        <v>892.96266506969926</v>
      </c>
      <c r="F8">
        <v>65.236842105263193</v>
      </c>
      <c r="G8">
        <v>4.6115847690900704</v>
      </c>
      <c r="H8">
        <v>0.74809783490677095</v>
      </c>
      <c r="I8">
        <f t="shared" si="0"/>
        <v>3.9692582603296844</v>
      </c>
      <c r="J8">
        <v>0</v>
      </c>
      <c r="K8">
        <v>0</v>
      </c>
      <c r="L8">
        <v>0</v>
      </c>
    </row>
    <row r="9" spans="1:13" x14ac:dyDescent="0.25">
      <c r="A9" s="24">
        <v>5</v>
      </c>
      <c r="B9" s="47">
        <v>127.90839729601674</v>
      </c>
      <c r="C9">
        <f t="shared" si="1"/>
        <v>8.9886435204509313E-2</v>
      </c>
      <c r="D9">
        <f t="shared" si="2"/>
        <v>4314.5488898164467</v>
      </c>
      <c r="E9" s="21">
        <f t="shared" si="3"/>
        <v>2157.2744449082234</v>
      </c>
      <c r="F9">
        <v>76.8</v>
      </c>
      <c r="G9">
        <v>8.1168678875412006</v>
      </c>
      <c r="H9">
        <v>0.90749341804636197</v>
      </c>
      <c r="I9">
        <f t="shared" si="0"/>
        <v>4.8513143615978214</v>
      </c>
      <c r="J9">
        <v>0</v>
      </c>
      <c r="K9">
        <v>0</v>
      </c>
      <c r="L9">
        <v>0</v>
      </c>
    </row>
    <row r="10" spans="1:13" x14ac:dyDescent="0.25">
      <c r="A10" s="24">
        <v>6</v>
      </c>
      <c r="B10" s="47">
        <v>121.55487579752611</v>
      </c>
      <c r="C10">
        <f t="shared" si="1"/>
        <v>8.542155713107949E-2</v>
      </c>
      <c r="D10">
        <f t="shared" si="2"/>
        <v>4100.2347422918156</v>
      </c>
      <c r="E10" s="21">
        <f t="shared" si="3"/>
        <v>2050.1173711459078</v>
      </c>
      <c r="F10">
        <v>77.567567567567593</v>
      </c>
      <c r="G10">
        <v>5.7645020625795604</v>
      </c>
      <c r="H10">
        <v>0.54714232242291605</v>
      </c>
      <c r="I10">
        <f t="shared" si="0"/>
        <v>4.800365813470779</v>
      </c>
      <c r="J10">
        <v>0</v>
      </c>
      <c r="K10">
        <v>0</v>
      </c>
      <c r="L10">
        <v>0</v>
      </c>
    </row>
    <row r="11" spans="1:13" x14ac:dyDescent="0.25">
      <c r="A11" s="24">
        <v>7</v>
      </c>
      <c r="B11" s="47">
        <v>164.18785022379444</v>
      </c>
      <c r="C11">
        <f t="shared" si="1"/>
        <v>0.11538148294012258</v>
      </c>
      <c r="D11">
        <f t="shared" si="2"/>
        <v>5538.3111811258841</v>
      </c>
      <c r="E11" s="21">
        <f t="shared" si="3"/>
        <v>2769.1555905629421</v>
      </c>
      <c r="F11">
        <v>84.170886075949397</v>
      </c>
      <c r="G11">
        <v>7.1838398244867196</v>
      </c>
      <c r="H11">
        <v>0.57151561007220997</v>
      </c>
      <c r="I11">
        <f t="shared" si="0"/>
        <v>5.1010112005156998</v>
      </c>
      <c r="J11">
        <v>0</v>
      </c>
      <c r="K11">
        <v>0</v>
      </c>
      <c r="L11">
        <v>0</v>
      </c>
    </row>
    <row r="12" spans="1:13" x14ac:dyDescent="0.25">
      <c r="A12" s="24">
        <v>8</v>
      </c>
      <c r="B12" s="47">
        <v>181.24054634709572</v>
      </c>
      <c r="C12">
        <f t="shared" si="1"/>
        <v>0.12736510635776227</v>
      </c>
      <c r="D12">
        <f t="shared" si="2"/>
        <v>6113.5251051725891</v>
      </c>
      <c r="E12" s="21">
        <f t="shared" si="3"/>
        <v>3056.7625525862945</v>
      </c>
      <c r="F12">
        <v>89.988826815642497</v>
      </c>
      <c r="G12">
        <v>9.0348817336890903</v>
      </c>
      <c r="H12">
        <v>0.67529876666226796</v>
      </c>
      <c r="I12">
        <f t="shared" si="0"/>
        <v>5.1998251342895152</v>
      </c>
      <c r="J12">
        <v>0</v>
      </c>
      <c r="K12">
        <v>0</v>
      </c>
      <c r="L12">
        <v>0</v>
      </c>
    </row>
    <row r="13" spans="1:13" x14ac:dyDescent="0.25">
      <c r="A13" s="24">
        <v>9</v>
      </c>
      <c r="B13" s="47">
        <v>136.04174810406118</v>
      </c>
      <c r="C13">
        <f t="shared" si="1"/>
        <v>9.5602071752678278E-2</v>
      </c>
      <c r="D13">
        <f t="shared" si="2"/>
        <v>4588.8994441285577</v>
      </c>
      <c r="E13" s="21">
        <f t="shared" si="3"/>
        <v>2294.4497220642788</v>
      </c>
      <c r="F13">
        <v>99.477272727272705</v>
      </c>
      <c r="G13">
        <v>10.1466091873782</v>
      </c>
      <c r="H13">
        <v>0.88314897161867401</v>
      </c>
      <c r="I13">
        <f t="shared" si="0"/>
        <v>4.9129618099833774</v>
      </c>
      <c r="J13">
        <v>0</v>
      </c>
      <c r="K13">
        <v>0</v>
      </c>
      <c r="L13">
        <v>0</v>
      </c>
    </row>
    <row r="14" spans="1:13" x14ac:dyDescent="0.25">
      <c r="A14" s="24">
        <v>10</v>
      </c>
      <c r="B14" s="47">
        <v>71.529747551702897</v>
      </c>
      <c r="C14">
        <f t="shared" si="1"/>
        <v>5.0266864056010468E-2</v>
      </c>
      <c r="D14">
        <f t="shared" si="2"/>
        <v>2412.8094746885026</v>
      </c>
      <c r="E14" s="21">
        <f t="shared" si="3"/>
        <v>1206.4047373442513</v>
      </c>
      <c r="F14">
        <v>102.191176470588</v>
      </c>
      <c r="G14">
        <v>9.5233528413856305</v>
      </c>
      <c r="H14">
        <v>1.1548761669134999</v>
      </c>
      <c r="I14">
        <f t="shared" si="0"/>
        <v>4.2701134128494607</v>
      </c>
      <c r="J14" s="42">
        <f>0.072*(F14^2.94)</f>
        <v>58211.379237938447</v>
      </c>
      <c r="K14" s="42">
        <f>J14*E14</f>
        <v>70226483.679991737</v>
      </c>
      <c r="L14">
        <v>3.7499999999999999E-3</v>
      </c>
      <c r="M14" s="42">
        <f>K14*L14</f>
        <v>263349.31379996898</v>
      </c>
    </row>
    <row r="15" spans="1:13" x14ac:dyDescent="0.25">
      <c r="A15" s="24">
        <v>11</v>
      </c>
      <c r="B15" s="47">
        <v>52.498104806079297</v>
      </c>
      <c r="C15">
        <f t="shared" si="1"/>
        <v>3.6892554326127404E-2</v>
      </c>
      <c r="D15">
        <f t="shared" si="2"/>
        <v>1770.8426076541155</v>
      </c>
      <c r="E15" s="21">
        <f t="shared" si="3"/>
        <v>885.42130382705773</v>
      </c>
      <c r="F15">
        <v>117.065217391304</v>
      </c>
      <c r="G15">
        <v>6.5909101509850299</v>
      </c>
      <c r="H15">
        <v>0.97177668550240104</v>
      </c>
      <c r="I15">
        <f t="shared" si="0"/>
        <v>3.9607770700141729</v>
      </c>
      <c r="J15" s="42">
        <f t="shared" ref="J15:J23" si="4">0.072*(F15^2.94)</f>
        <v>86798.146588377494</v>
      </c>
      <c r="K15" s="42">
        <f t="shared" ref="K15:K24" si="5">J15*E15</f>
        <v>76852928.12205328</v>
      </c>
      <c r="L15">
        <v>1.29E-2</v>
      </c>
      <c r="M15" s="42">
        <f t="shared" ref="M15:M23" si="6">K15*L15</f>
        <v>991402.77277448727</v>
      </c>
    </row>
    <row r="16" spans="1:13" x14ac:dyDescent="0.25">
      <c r="A16" s="24">
        <v>12</v>
      </c>
      <c r="B16" s="47">
        <v>33.518025963344684</v>
      </c>
      <c r="C16">
        <f t="shared" si="1"/>
        <v>2.3554480648871879E-2</v>
      </c>
      <c r="D16">
        <f t="shared" si="2"/>
        <v>1130.6150711458502</v>
      </c>
      <c r="E16" s="21">
        <f t="shared" si="3"/>
        <v>565.30753557292508</v>
      </c>
      <c r="F16">
        <v>124.64</v>
      </c>
      <c r="G16">
        <v>8.2253672663697301</v>
      </c>
      <c r="H16">
        <v>1.6450734532739499</v>
      </c>
      <c r="I16">
        <f t="shared" si="0"/>
        <v>3.5120833825713884</v>
      </c>
      <c r="J16" s="42">
        <f t="shared" si="4"/>
        <v>104367.521728266</v>
      </c>
      <c r="K16" s="42">
        <f t="shared" si="5"/>
        <v>58999746.502059765</v>
      </c>
      <c r="L16">
        <v>2.145E-2</v>
      </c>
      <c r="M16" s="42">
        <f t="shared" si="6"/>
        <v>1265544.5624691821</v>
      </c>
    </row>
    <row r="17" spans="1:15" x14ac:dyDescent="0.25">
      <c r="A17" s="24">
        <v>13</v>
      </c>
      <c r="B17" s="47">
        <v>91.783536741072595</v>
      </c>
      <c r="C17">
        <f t="shared" si="1"/>
        <v>6.4500025819446652E-2</v>
      </c>
      <c r="D17">
        <f t="shared" si="2"/>
        <v>3096.0012393334391</v>
      </c>
      <c r="E17" s="21">
        <f t="shared" si="3"/>
        <v>1548.0006196667196</v>
      </c>
      <c r="F17">
        <v>136.791666666667</v>
      </c>
      <c r="G17">
        <v>8.8220187136730299</v>
      </c>
      <c r="H17">
        <v>1.2733487197837601</v>
      </c>
      <c r="I17">
        <f t="shared" si="0"/>
        <v>4.5194329432108606</v>
      </c>
      <c r="J17" s="42">
        <f t="shared" si="4"/>
        <v>137198.01911956465</v>
      </c>
      <c r="K17" s="42">
        <f t="shared" si="5"/>
        <v>212382618.61413252</v>
      </c>
      <c r="L17">
        <v>4.3650000000000001E-2</v>
      </c>
      <c r="M17" s="42">
        <f t="shared" si="6"/>
        <v>9270501.3025068846</v>
      </c>
    </row>
    <row r="18" spans="1:15" x14ac:dyDescent="0.25">
      <c r="A18" s="24">
        <v>14</v>
      </c>
      <c r="B18" s="47">
        <v>55.495248871636292</v>
      </c>
      <c r="C18">
        <f t="shared" si="1"/>
        <v>3.8998769410847713E-2</v>
      </c>
      <c r="D18">
        <f t="shared" si="2"/>
        <v>1871.9409317206903</v>
      </c>
      <c r="E18" s="21">
        <f t="shared" si="3"/>
        <v>935.97046586034514</v>
      </c>
      <c r="F18">
        <v>148.041666666667</v>
      </c>
      <c r="G18">
        <v>5.36071999274162</v>
      </c>
      <c r="H18">
        <v>1.09425238634611</v>
      </c>
      <c r="I18">
        <f t="shared" si="0"/>
        <v>4.0162974111715304</v>
      </c>
      <c r="J18" s="42">
        <f t="shared" si="4"/>
        <v>173085.76656329859</v>
      </c>
      <c r="K18" s="42">
        <f t="shared" si="5"/>
        <v>162003165.56404552</v>
      </c>
      <c r="L18">
        <v>8.14E-2</v>
      </c>
      <c r="M18" s="42">
        <f t="shared" si="6"/>
        <v>13187057.676913306</v>
      </c>
    </row>
    <row r="19" spans="1:15" x14ac:dyDescent="0.25">
      <c r="A19" s="24">
        <v>15</v>
      </c>
      <c r="B19" s="47">
        <v>105.01870244329911</v>
      </c>
      <c r="C19">
        <f t="shared" si="1"/>
        <v>7.3800915279900986E-2</v>
      </c>
      <c r="D19">
        <f t="shared" si="2"/>
        <v>3542.4439334352473</v>
      </c>
      <c r="E19" s="21">
        <f t="shared" si="3"/>
        <v>1771.2219667176237</v>
      </c>
      <c r="F19">
        <v>152.085714285714</v>
      </c>
      <c r="G19">
        <v>10.680855409044099</v>
      </c>
      <c r="H19">
        <v>1.8053940786187499</v>
      </c>
      <c r="I19">
        <f t="shared" si="0"/>
        <v>4.6541384528039158</v>
      </c>
      <c r="J19" s="42">
        <f t="shared" si="4"/>
        <v>187358.09267580224</v>
      </c>
      <c r="K19" s="42">
        <f t="shared" si="5"/>
        <v>331852769.38969725</v>
      </c>
      <c r="L19">
        <v>9.3299999999999994E-2</v>
      </c>
      <c r="M19" s="42">
        <f t="shared" si="6"/>
        <v>30961863.384058751</v>
      </c>
    </row>
    <row r="20" spans="1:15" x14ac:dyDescent="0.25">
      <c r="A20" s="24">
        <v>16</v>
      </c>
      <c r="B20" s="47">
        <v>7.0404626513018407</v>
      </c>
      <c r="C20">
        <f>B20/1423</f>
        <v>4.9476195722430363E-3</v>
      </c>
      <c r="D20">
        <f t="shared" si="2"/>
        <v>237.48573946766575</v>
      </c>
      <c r="E20" s="21">
        <f t="shared" si="3"/>
        <v>118.74286973383288</v>
      </c>
      <c r="F20">
        <v>167</v>
      </c>
      <c r="G20">
        <v>1.4142135623731</v>
      </c>
      <c r="H20">
        <v>1</v>
      </c>
      <c r="I20">
        <f t="shared" si="0"/>
        <v>1.9516738855251159</v>
      </c>
      <c r="J20" s="42">
        <f t="shared" si="4"/>
        <v>246671.46981340766</v>
      </c>
      <c r="K20" s="42">
        <f t="shared" si="5"/>
        <v>29290478.207106553</v>
      </c>
      <c r="L20">
        <v>0.1182</v>
      </c>
      <c r="M20" s="42">
        <f t="shared" si="6"/>
        <v>3462134.5240799948</v>
      </c>
    </row>
    <row r="21" spans="1:15" x14ac:dyDescent="0.25">
      <c r="A21" s="24">
        <v>17</v>
      </c>
      <c r="B21" s="47">
        <v>90.933596907243498</v>
      </c>
      <c r="C21">
        <f t="shared" si="1"/>
        <v>6.3902738515280041E-2</v>
      </c>
      <c r="D21">
        <f t="shared" si="2"/>
        <v>3067.3314487334419</v>
      </c>
      <c r="E21" s="21">
        <f t="shared" si="3"/>
        <v>1533.665724366721</v>
      </c>
      <c r="F21">
        <v>168.65</v>
      </c>
      <c r="G21">
        <v>8.0215171159890506</v>
      </c>
      <c r="H21">
        <v>1.79366575540296</v>
      </c>
      <c r="I21">
        <f t="shared" si="0"/>
        <v>4.5101295358370646</v>
      </c>
      <c r="J21" s="42">
        <f t="shared" si="4"/>
        <v>253905.64252649137</v>
      </c>
      <c r="K21" s="42">
        <f t="shared" si="5"/>
        <v>389406381.16618907</v>
      </c>
      <c r="L21">
        <v>0.12734999999999999</v>
      </c>
      <c r="M21" s="42">
        <f t="shared" si="6"/>
        <v>49590902.641514175</v>
      </c>
    </row>
    <row r="22" spans="1:15" x14ac:dyDescent="0.25">
      <c r="A22" s="24">
        <v>18</v>
      </c>
      <c r="B22" s="47">
        <v>20.663580577390778</v>
      </c>
      <c r="C22">
        <f t="shared" si="1"/>
        <v>1.4521138845671664E-2</v>
      </c>
      <c r="D22">
        <f t="shared" si="2"/>
        <v>697.01466459223991</v>
      </c>
      <c r="E22" s="21">
        <f t="shared" si="3"/>
        <v>348.50733229611996</v>
      </c>
      <c r="F22">
        <v>182.333333333333</v>
      </c>
      <c r="G22">
        <v>1.1547005383792499</v>
      </c>
      <c r="H22">
        <v>0.66666666666666696</v>
      </c>
      <c r="I22">
        <f t="shared" si="0"/>
        <v>3.0283727583261641</v>
      </c>
      <c r="J22" s="42">
        <f t="shared" si="4"/>
        <v>319358.69649172475</v>
      </c>
      <c r="K22" s="42">
        <f t="shared" si="5"/>
        <v>111298847.35989724</v>
      </c>
      <c r="L22">
        <v>0.14130000000000001</v>
      </c>
      <c r="M22" s="42">
        <f t="shared" si="6"/>
        <v>15726527.131953482</v>
      </c>
    </row>
    <row r="23" spans="1:15" x14ac:dyDescent="0.25">
      <c r="A23" s="24">
        <v>19</v>
      </c>
      <c r="B23" s="47">
        <v>65.641304874862698</v>
      </c>
      <c r="C23">
        <f t="shared" si="1"/>
        <v>4.6128815794000487E-2</v>
      </c>
      <c r="D23">
        <f t="shared" si="2"/>
        <v>2214.1831581120232</v>
      </c>
      <c r="E23" s="21">
        <f t="shared" si="3"/>
        <v>1107.0915790560116</v>
      </c>
      <c r="F23">
        <v>187.75</v>
      </c>
      <c r="G23">
        <v>10.965856099730701</v>
      </c>
      <c r="H23">
        <v>5.4829280498653299</v>
      </c>
      <c r="I23">
        <f t="shared" si="0"/>
        <v>4.1842051452879003</v>
      </c>
      <c r="J23" s="42">
        <f t="shared" si="4"/>
        <v>348062.7416236694</v>
      </c>
      <c r="K23" s="42">
        <f t="shared" si="5"/>
        <v>385337330.23471272</v>
      </c>
      <c r="L23">
        <v>0.1449</v>
      </c>
      <c r="M23" s="42">
        <f t="shared" si="6"/>
        <v>55835379.151009873</v>
      </c>
    </row>
    <row r="24" spans="1:15" x14ac:dyDescent="0.25">
      <c r="A24" s="24" t="s">
        <v>53</v>
      </c>
      <c r="B24" s="1"/>
      <c r="D24">
        <f>SUM(D5:D23)</f>
        <v>48007.937719708156</v>
      </c>
      <c r="E24">
        <v>617.65319999999997</v>
      </c>
      <c r="F24">
        <v>200</v>
      </c>
      <c r="J24">
        <f>0.072*(F24^2.94)</f>
        <v>419141.51968335209</v>
      </c>
      <c r="K24" s="42">
        <f t="shared" si="5"/>
        <v>258884100.88528538</v>
      </c>
      <c r="L24">
        <v>0.15</v>
      </c>
      <c r="M24" s="42">
        <f>K24*L24</f>
        <v>38832615.132792808</v>
      </c>
    </row>
    <row r="25" spans="1:15" x14ac:dyDescent="0.25">
      <c r="D25">
        <f>SUM(D24)</f>
        <v>48007.937719708156</v>
      </c>
      <c r="J25">
        <f>AVERAGE(J14:J24)</f>
        <v>212196.27236835388</v>
      </c>
      <c r="M25" s="43">
        <f>SUM(M14:M24)</f>
        <v>219387277.59387287</v>
      </c>
      <c r="N25">
        <f>M25*0.002</f>
        <v>438774.55518774578</v>
      </c>
      <c r="O25">
        <f>N25*0.25</f>
        <v>109693.63879693644</v>
      </c>
    </row>
    <row r="26" spans="1:15" x14ac:dyDescent="0.25">
      <c r="K26" s="42">
        <f>SUM(K14:K23)</f>
        <v>1827650748.8398857</v>
      </c>
      <c r="M26">
        <v>0</v>
      </c>
      <c r="N26">
        <v>1</v>
      </c>
      <c r="O26">
        <v>2</v>
      </c>
    </row>
    <row r="27" spans="1:15" x14ac:dyDescent="0.25">
      <c r="K27" s="49"/>
    </row>
    <row r="28" spans="1:15" x14ac:dyDescent="0.25">
      <c r="B28">
        <f>SUM(C7:C13)</f>
        <v>0.58265144689218618</v>
      </c>
      <c r="E28">
        <v>762</v>
      </c>
      <c r="F28">
        <f>E28/0.94</f>
        <v>810.63829787234044</v>
      </c>
      <c r="G28">
        <f>F28/0.25</f>
        <v>3242.5531914893618</v>
      </c>
      <c r="H28">
        <f>G28/0.002</f>
        <v>1621276.5957446808</v>
      </c>
      <c r="J28">
        <f>2/374</f>
        <v>5.3475935828877002E-3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46"/>
  <sheetViews>
    <sheetView workbookViewId="0">
      <selection activeCell="C4" sqref="C4"/>
    </sheetView>
  </sheetViews>
  <sheetFormatPr defaultRowHeight="15" x14ac:dyDescent="0.25"/>
  <cols>
    <col min="1" max="1" width="19.5703125" bestFit="1" customWidth="1"/>
    <col min="5" max="5" width="13.7109375" bestFit="1" customWidth="1"/>
  </cols>
  <sheetData>
    <row r="1" spans="1:33" ht="15.75" x14ac:dyDescent="0.25">
      <c r="A1" s="6" t="s">
        <v>35</v>
      </c>
      <c r="B1" s="6"/>
      <c r="C1" s="6"/>
      <c r="D1" s="6"/>
      <c r="E1" s="50" t="s">
        <v>42</v>
      </c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</row>
    <row r="2" spans="1:33" ht="15.75" x14ac:dyDescent="0.25">
      <c r="A2" s="7" t="s">
        <v>11</v>
      </c>
      <c r="B2" s="7" t="s">
        <v>12</v>
      </c>
      <c r="C2" s="7" t="s">
        <v>13</v>
      </c>
      <c r="D2" s="7" t="s">
        <v>14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ht="15.75" x14ac:dyDescent="0.25">
      <c r="A3" s="8" t="s">
        <v>15</v>
      </c>
      <c r="B3" s="9" t="s">
        <v>16</v>
      </c>
      <c r="C3" s="45">
        <v>0.20677380000000001</v>
      </c>
      <c r="D3" s="32">
        <v>7.6614379999999996E-3</v>
      </c>
      <c r="E3" s="16">
        <f>E6+C7</f>
        <v>5.5768475210287688E-2</v>
      </c>
      <c r="F3" s="16">
        <f t="shared" ref="F3:I3" si="0">F6+$C$7</f>
        <v>6.683794835051407E-2</v>
      </c>
      <c r="G3" s="16">
        <f t="shared" si="0"/>
        <v>7.7907421490740467E-2</v>
      </c>
      <c r="H3" s="16">
        <f t="shared" si="0"/>
        <v>8.8976894630966863E-2</v>
      </c>
      <c r="I3" s="16">
        <f t="shared" si="0"/>
        <v>0.10004636777119325</v>
      </c>
      <c r="J3" s="16">
        <f>J6+$C$7</f>
        <v>0.11111584091141963</v>
      </c>
      <c r="K3" s="16">
        <f t="shared" ref="K3:N3" si="1">K6+$C$7</f>
        <v>0.12218531405164602</v>
      </c>
      <c r="L3" s="16">
        <f t="shared" si="1"/>
        <v>0.13325478719187242</v>
      </c>
      <c r="M3" s="16">
        <f t="shared" si="1"/>
        <v>0.14432426033209877</v>
      </c>
      <c r="N3" s="16">
        <f t="shared" si="1"/>
        <v>0.15539373347232519</v>
      </c>
      <c r="O3" s="16">
        <f t="shared" ref="O3:AG3" si="2">O6+$C$7</f>
        <v>0.1664632066125516</v>
      </c>
      <c r="P3" s="16">
        <f t="shared" si="2"/>
        <v>0.17753267975277798</v>
      </c>
      <c r="Q3" s="16">
        <f t="shared" si="2"/>
        <v>0.18860215289300436</v>
      </c>
      <c r="R3" s="16">
        <f t="shared" si="2"/>
        <v>0.22181057231368351</v>
      </c>
      <c r="S3" s="16">
        <f t="shared" si="2"/>
        <v>0.23288004545390989</v>
      </c>
      <c r="T3" s="16">
        <f t="shared" si="2"/>
        <v>0.24394951859413633</v>
      </c>
      <c r="U3" s="16">
        <f t="shared" si="2"/>
        <v>0.25501899173436271</v>
      </c>
      <c r="V3" s="16">
        <f t="shared" si="2"/>
        <v>0.26608846487458909</v>
      </c>
      <c r="W3" s="16">
        <f t="shared" si="2"/>
        <v>0.27715793801481547</v>
      </c>
      <c r="X3" s="16">
        <f t="shared" si="2"/>
        <v>0.2882274111550418</v>
      </c>
      <c r="Y3" s="16">
        <f t="shared" si="2"/>
        <v>0.29929688429526824</v>
      </c>
      <c r="Z3" s="16">
        <f t="shared" si="2"/>
        <v>0.31036635743549468</v>
      </c>
      <c r="AA3" s="16">
        <f t="shared" si="2"/>
        <v>0.321435830575721</v>
      </c>
      <c r="AB3" s="16">
        <f t="shared" si="2"/>
        <v>0.33250530371594744</v>
      </c>
      <c r="AC3" s="16">
        <f t="shared" si="2"/>
        <v>0.34357477685617377</v>
      </c>
      <c r="AD3" s="16">
        <f t="shared" si="2"/>
        <v>0.35464424999640021</v>
      </c>
      <c r="AE3" s="16">
        <f t="shared" si="2"/>
        <v>0.36571372313662664</v>
      </c>
      <c r="AF3" s="16">
        <f t="shared" si="2"/>
        <v>0.37678319627685297</v>
      </c>
      <c r="AG3" s="16">
        <f t="shared" si="2"/>
        <v>0.3878526694170793</v>
      </c>
    </row>
    <row r="4" spans="1:33" ht="18.75" x14ac:dyDescent="0.25">
      <c r="A4" s="8" t="s">
        <v>17</v>
      </c>
      <c r="B4" s="6" t="s">
        <v>29</v>
      </c>
      <c r="C4" s="45">
        <v>0.813155874</v>
      </c>
      <c r="D4" s="34">
        <v>0.62367812</v>
      </c>
      <c r="E4" s="44">
        <f>EXP(-E3)</f>
        <v>0.94575807698416536</v>
      </c>
      <c r="F4" s="44">
        <f t="shared" ref="F4:G4" si="3">EXP(-F3)</f>
        <v>0.93534676354186552</v>
      </c>
      <c r="G4" s="44">
        <f t="shared" si="3"/>
        <v>0.92505006233522258</v>
      </c>
      <c r="H4" s="44">
        <f t="shared" ref="H4" si="4">EXP(-H3)</f>
        <v>0.91486671166323852</v>
      </c>
      <c r="I4" s="44">
        <f t="shared" ref="I4" si="5">EXP(-I3)</f>
        <v>0.90479546371426467</v>
      </c>
      <c r="J4" s="44">
        <f t="shared" ref="J4:AG4" si="6">EXP(-J3)</f>
        <v>0.89483508441310222</v>
      </c>
      <c r="K4" s="44">
        <f t="shared" ref="K4" si="7">EXP(-K3)</f>
        <v>0.88498435326978508</v>
      </c>
      <c r="L4" s="44">
        <f t="shared" ref="L4" si="8">EXP(-L3)</f>
        <v>0.87524206323002784</v>
      </c>
      <c r="M4" s="44">
        <f t="shared" ref="M4:N4" si="9">EXP(-M3)</f>
        <v>0.86560702052732019</v>
      </c>
      <c r="N4" s="44">
        <f t="shared" si="9"/>
        <v>0.85607804453664915</v>
      </c>
      <c r="O4" s="44">
        <f t="shared" si="6"/>
        <v>0.84665396762983203</v>
      </c>
      <c r="P4" s="44">
        <f t="shared" si="6"/>
        <v>0.8373336350324414</v>
      </c>
      <c r="Q4" s="44">
        <f t="shared" ref="Q4" si="10">EXP(-Q3)</f>
        <v>0.82811590468230556</v>
      </c>
      <c r="R4" s="44">
        <f t="shared" ref="R4" si="11">EXP(-R3)</f>
        <v>0.80106709424953004</v>
      </c>
      <c r="S4" s="44">
        <f t="shared" ref="S4" si="12">EXP(-S3)</f>
        <v>0.79224860164607347</v>
      </c>
      <c r="T4" s="44">
        <f t="shared" ref="T4" si="13">EXP(-T3)</f>
        <v>0.7835271868184428</v>
      </c>
      <c r="U4" s="44">
        <f t="shared" ref="U4" si="14">EXP(-U3)</f>
        <v>0.77490178109254826</v>
      </c>
      <c r="V4" s="44">
        <f t="shared" ref="V4" si="15">EXP(-V3)</f>
        <v>0.7663713275587255</v>
      </c>
      <c r="W4" s="44">
        <f t="shared" si="6"/>
        <v>0.75793478094222855</v>
      </c>
      <c r="X4" s="44">
        <f t="shared" ref="X4" si="16">EXP(-X3)</f>
        <v>0.74959110747514746</v>
      </c>
      <c r="Y4" s="44">
        <f t="shared" ref="Y4" si="17">EXP(-Y3)</f>
        <v>0.74133928476973576</v>
      </c>
      <c r="Z4" s="44">
        <f t="shared" ref="Z4" si="18">EXP(-Z3)</f>
        <v>0.73317830169313292</v>
      </c>
      <c r="AA4" s="44">
        <f t="shared" ref="AA4" si="19">EXP(-AA3)</f>
        <v>0.72510715824346605</v>
      </c>
      <c r="AB4" s="44">
        <f t="shared" si="6"/>
        <v>0.71712486542731435</v>
      </c>
      <c r="AC4" s="44">
        <f t="shared" ref="AC4" si="20">EXP(-AC3)</f>
        <v>0.7092304451385244</v>
      </c>
      <c r="AD4" s="44">
        <f t="shared" ref="AD4" si="21">EXP(-AD3)</f>
        <v>0.70142293003835698</v>
      </c>
      <c r="AE4" s="44">
        <f t="shared" ref="AE4" si="22">EXP(-AE3)</f>
        <v>0.69370136343695643</v>
      </c>
      <c r="AF4" s="44">
        <f t="shared" ref="AF4" si="23">EXP(-AF3)</f>
        <v>0.68606479917612184</v>
      </c>
      <c r="AG4" s="44">
        <f t="shared" si="6"/>
        <v>0.6785123015133705</v>
      </c>
    </row>
    <row r="5" spans="1:33" ht="18.75" x14ac:dyDescent="0.25">
      <c r="A5" s="8" t="s">
        <v>18</v>
      </c>
      <c r="B5" s="6" t="s">
        <v>30</v>
      </c>
      <c r="C5" s="32">
        <f>1-EXP(-C3)</f>
        <v>0.18679642416637288</v>
      </c>
      <c r="D5" s="32"/>
      <c r="E5" s="16">
        <f>1-EXP(-E3)</f>
        <v>5.4241923015834637E-2</v>
      </c>
      <c r="F5" s="16">
        <f>1-EXP(-F3)</f>
        <v>6.4653236458134478E-2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</row>
    <row r="6" spans="1:33" ht="15.75" x14ac:dyDescent="0.25">
      <c r="A6" s="8" t="s">
        <v>19</v>
      </c>
      <c r="B6" s="9" t="s">
        <v>20</v>
      </c>
      <c r="C6" s="33">
        <f>C10*C3/C5</f>
        <v>0.15100532478971232</v>
      </c>
      <c r="D6" s="32"/>
      <c r="E6" s="16">
        <f>(E10*$C$3)/$C$5</f>
        <v>0</v>
      </c>
      <c r="F6" s="16">
        <f>(F10*$C$3)/$C$5</f>
        <v>1.1069473140226388E-2</v>
      </c>
      <c r="G6" s="16">
        <f t="shared" ref="G6:I6" si="24">(G10*$C$3)/$C$5</f>
        <v>2.2138946280452775E-2</v>
      </c>
      <c r="H6" s="16">
        <f t="shared" si="24"/>
        <v>3.3208419420679168E-2</v>
      </c>
      <c r="I6" s="16">
        <f t="shared" si="24"/>
        <v>4.427789256090555E-2</v>
      </c>
      <c r="J6" s="16">
        <f t="shared" ref="J6:AG6" si="25">(J10*$C$3)/$C$5</f>
        <v>5.5347365701131947E-2</v>
      </c>
      <c r="K6" s="16">
        <f t="shared" si="25"/>
        <v>6.6416838841358336E-2</v>
      </c>
      <c r="L6" s="16">
        <f t="shared" si="25"/>
        <v>7.7486311981584732E-2</v>
      </c>
      <c r="M6" s="16">
        <f t="shared" si="25"/>
        <v>8.8555785121811101E-2</v>
      </c>
      <c r="N6" s="16">
        <f t="shared" si="25"/>
        <v>9.9625258262037497E-2</v>
      </c>
      <c r="O6" s="16">
        <f>(O10*$C$3)/$C$5</f>
        <v>0.11069473140226389</v>
      </c>
      <c r="P6" s="16">
        <f t="shared" si="25"/>
        <v>0.12176420454249028</v>
      </c>
      <c r="Q6" s="16">
        <f t="shared" si="25"/>
        <v>0.13283367768271667</v>
      </c>
      <c r="R6" s="16">
        <f t="shared" si="25"/>
        <v>0.16604209710339582</v>
      </c>
      <c r="S6" s="16">
        <f t="shared" si="25"/>
        <v>0.1771115702436222</v>
      </c>
      <c r="T6" s="16">
        <f t="shared" si="25"/>
        <v>0.18818104338384864</v>
      </c>
      <c r="U6" s="16">
        <f t="shared" si="25"/>
        <v>0.19925051652407499</v>
      </c>
      <c r="V6" s="16">
        <f t="shared" si="25"/>
        <v>0.2103199896643014</v>
      </c>
      <c r="W6" s="16">
        <f t="shared" si="25"/>
        <v>0.22138946280452779</v>
      </c>
      <c r="X6" s="16">
        <f t="shared" si="25"/>
        <v>0.23245893594475414</v>
      </c>
      <c r="Y6" s="16">
        <f t="shared" si="25"/>
        <v>0.24352840908498055</v>
      </c>
      <c r="Z6" s="16">
        <f t="shared" si="25"/>
        <v>0.25459788222520696</v>
      </c>
      <c r="AA6" s="16">
        <f t="shared" si="25"/>
        <v>0.26566735536543334</v>
      </c>
      <c r="AB6" s="16">
        <f t="shared" si="25"/>
        <v>0.27673682850565973</v>
      </c>
      <c r="AC6" s="16">
        <f t="shared" si="25"/>
        <v>0.28780630164588611</v>
      </c>
      <c r="AD6" s="16">
        <f t="shared" si="25"/>
        <v>0.29887577478611255</v>
      </c>
      <c r="AE6" s="16">
        <f t="shared" si="25"/>
        <v>0.30994524792633893</v>
      </c>
      <c r="AF6" s="16">
        <f t="shared" si="25"/>
        <v>0.32101472106656526</v>
      </c>
      <c r="AG6" s="16">
        <f t="shared" si="25"/>
        <v>0.33208419420679164</v>
      </c>
    </row>
    <row r="7" spans="1:33" ht="15.75" x14ac:dyDescent="0.25">
      <c r="A7" s="8" t="s">
        <v>21</v>
      </c>
      <c r="B7" s="9" t="s">
        <v>22</v>
      </c>
      <c r="C7" s="33">
        <f>C3-C6</f>
        <v>5.5768475210287688E-2</v>
      </c>
      <c r="D7" s="32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</row>
    <row r="8" spans="1:33" ht="15.75" x14ac:dyDescent="0.25">
      <c r="A8" s="11" t="s">
        <v>23</v>
      </c>
      <c r="B8" s="9" t="s">
        <v>24</v>
      </c>
      <c r="C8" s="32">
        <f>C7*C5/C3</f>
        <v>5.0380424166372867E-2</v>
      </c>
      <c r="D8" s="32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</row>
    <row r="9" spans="1:33" ht="18.75" x14ac:dyDescent="0.25">
      <c r="A9" s="11" t="s">
        <v>25</v>
      </c>
      <c r="B9" s="10" t="s">
        <v>31</v>
      </c>
      <c r="C9" s="33">
        <f>1-EXP(-C7)</f>
        <v>5.4241923015834637E-2</v>
      </c>
      <c r="D9" s="32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</row>
    <row r="10" spans="1:33" ht="15.75" x14ac:dyDescent="0.25">
      <c r="A10" s="11" t="s">
        <v>26</v>
      </c>
      <c r="B10" s="9" t="s">
        <v>27</v>
      </c>
      <c r="C10" s="46">
        <v>0.13641600000000001</v>
      </c>
      <c r="D10" s="32"/>
      <c r="E10" s="17">
        <v>0</v>
      </c>
      <c r="F10" s="17">
        <v>0.01</v>
      </c>
      <c r="G10" s="17">
        <v>0.02</v>
      </c>
      <c r="H10" s="17">
        <v>0.03</v>
      </c>
      <c r="I10" s="17">
        <v>0.04</v>
      </c>
      <c r="J10" s="17">
        <v>0.05</v>
      </c>
      <c r="K10" s="17">
        <v>0.06</v>
      </c>
      <c r="L10" s="17">
        <v>7.0000000000000007E-2</v>
      </c>
      <c r="M10" s="17">
        <v>0.08</v>
      </c>
      <c r="N10" s="17">
        <v>0.09</v>
      </c>
      <c r="O10" s="17">
        <v>0.1</v>
      </c>
      <c r="P10" s="17">
        <v>0.11</v>
      </c>
      <c r="Q10" s="17">
        <v>0.12</v>
      </c>
      <c r="R10" s="17">
        <v>0.15</v>
      </c>
      <c r="S10" s="17">
        <v>0.16</v>
      </c>
      <c r="T10" s="17">
        <v>0.17</v>
      </c>
      <c r="U10" s="17">
        <v>0.18</v>
      </c>
      <c r="V10" s="17">
        <v>0.19</v>
      </c>
      <c r="W10" s="17">
        <v>0.2</v>
      </c>
      <c r="X10" s="17">
        <v>0.21</v>
      </c>
      <c r="Y10" s="17">
        <v>0.22</v>
      </c>
      <c r="Z10" s="17">
        <v>0.23</v>
      </c>
      <c r="AA10" s="17">
        <v>0.24</v>
      </c>
      <c r="AB10" s="17">
        <v>0.25</v>
      </c>
      <c r="AC10" s="17">
        <v>0.26</v>
      </c>
      <c r="AD10" s="17">
        <v>0.27</v>
      </c>
      <c r="AE10" s="17">
        <v>0.28000000000000003</v>
      </c>
      <c r="AF10" s="17">
        <v>0.28999999999999998</v>
      </c>
      <c r="AG10" s="17">
        <v>0.3</v>
      </c>
    </row>
    <row r="11" spans="1:33" ht="18.75" x14ac:dyDescent="0.25">
      <c r="A11" s="19" t="s">
        <v>28</v>
      </c>
      <c r="B11" s="20" t="s">
        <v>32</v>
      </c>
      <c r="C11" s="36">
        <f>1-EXP(-C6)</f>
        <v>0.14015687983678471</v>
      </c>
      <c r="D11" s="3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</row>
    <row r="12" spans="1:33" ht="15.75" x14ac:dyDescent="0.25">
      <c r="B12" s="45"/>
      <c r="C12" t="s">
        <v>95</v>
      </c>
      <c r="D12" s="15"/>
    </row>
    <row r="13" spans="1:33" x14ac:dyDescent="0.25">
      <c r="D13" s="15"/>
      <c r="F13">
        <f>1-0.0542</f>
        <v>0.94579999999999997</v>
      </c>
      <c r="J13">
        <f>E4-J6</f>
        <v>0.8904107112830334</v>
      </c>
      <c r="Q13" s="28">
        <f>E4-Q6</f>
        <v>0.81292439930144866</v>
      </c>
      <c r="R13" s="28">
        <f>E4-R6</f>
        <v>0.77971597988076957</v>
      </c>
      <c r="S13" s="28">
        <f>E4-S6</f>
        <v>0.76864650674054313</v>
      </c>
      <c r="T13" s="28">
        <f>E4-T6</f>
        <v>0.7575770336003167</v>
      </c>
    </row>
    <row r="14" spans="1:33" ht="15.75" x14ac:dyDescent="0.25">
      <c r="A14" s="6" t="s">
        <v>36</v>
      </c>
      <c r="B14" s="6"/>
      <c r="C14" s="6"/>
      <c r="D14" s="16"/>
    </row>
    <row r="15" spans="1:33" ht="15.75" x14ac:dyDescent="0.25">
      <c r="A15" s="7" t="s">
        <v>11</v>
      </c>
      <c r="B15" s="7" t="s">
        <v>12</v>
      </c>
      <c r="C15" s="7" t="s">
        <v>13</v>
      </c>
      <c r="D15" s="7" t="s">
        <v>14</v>
      </c>
    </row>
    <row r="16" spans="1:33" ht="15.75" x14ac:dyDescent="0.25">
      <c r="A16" s="8" t="s">
        <v>15</v>
      </c>
      <c r="B16" s="9" t="s">
        <v>16</v>
      </c>
      <c r="C16" s="6">
        <v>0.34100000000000003</v>
      </c>
      <c r="D16" s="16">
        <v>1.7000000000000001E-2</v>
      </c>
      <c r="E16" s="16"/>
      <c r="F16" s="16"/>
      <c r="G16" s="16"/>
      <c r="H16" s="16"/>
      <c r="I16" s="16">
        <f>(F10*E3)/E5</f>
        <v>1.028143401073878E-2</v>
      </c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</row>
    <row r="17" spans="1:33" ht="18.75" x14ac:dyDescent="0.25">
      <c r="A17" s="8" t="s">
        <v>17</v>
      </c>
      <c r="B17" s="6" t="s">
        <v>29</v>
      </c>
      <c r="C17" s="10">
        <v>0.71099999999999997</v>
      </c>
      <c r="D17" s="38">
        <v>1.21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</row>
    <row r="18" spans="1:33" ht="18.75" x14ac:dyDescent="0.25">
      <c r="A18" s="8" t="s">
        <v>18</v>
      </c>
      <c r="B18" s="6" t="s">
        <v>30</v>
      </c>
      <c r="C18" s="6">
        <f>1-EXP(-C16)</f>
        <v>0.28894109179359029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</row>
    <row r="19" spans="1:33" ht="15.75" x14ac:dyDescent="0.25">
      <c r="A19" s="8" t="s">
        <v>19</v>
      </c>
      <c r="B19" s="9" t="s">
        <v>20</v>
      </c>
      <c r="C19" s="10">
        <f>C23*C16/C18</f>
        <v>0.16099425564997444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</row>
    <row r="20" spans="1:33" ht="15.75" x14ac:dyDescent="0.25">
      <c r="A20" s="8" t="s">
        <v>21</v>
      </c>
      <c r="B20" s="9" t="s">
        <v>22</v>
      </c>
      <c r="C20" s="10">
        <f>C16-C19</f>
        <v>0.18000574435002559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</row>
    <row r="21" spans="1:33" ht="15.75" x14ac:dyDescent="0.25">
      <c r="A21" s="11" t="s">
        <v>23</v>
      </c>
      <c r="B21" s="9" t="s">
        <v>24</v>
      </c>
      <c r="C21" s="6">
        <f>C20*C18/C16</f>
        <v>0.15252509179359028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</row>
    <row r="22" spans="1:33" ht="18.75" x14ac:dyDescent="0.25">
      <c r="A22" s="11" t="s">
        <v>25</v>
      </c>
      <c r="B22" s="10" t="s">
        <v>31</v>
      </c>
      <c r="C22" s="10">
        <f>1-EXP(-C20)</f>
        <v>0.16473458665940732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</row>
    <row r="23" spans="1:33" ht="15.75" x14ac:dyDescent="0.25">
      <c r="A23" s="11" t="s">
        <v>26</v>
      </c>
      <c r="B23" s="9" t="s">
        <v>27</v>
      </c>
      <c r="C23" s="12">
        <v>0.13641600000000001</v>
      </c>
      <c r="D23" s="16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18.75" x14ac:dyDescent="0.25">
      <c r="A24" s="11" t="s">
        <v>28</v>
      </c>
      <c r="B24" s="6" t="s">
        <v>32</v>
      </c>
      <c r="C24" s="6">
        <f>1-EXP(-C19)</f>
        <v>0.14870303875917312</v>
      </c>
      <c r="D24" s="6"/>
    </row>
    <row r="25" spans="1:33" ht="20.25" x14ac:dyDescent="0.35">
      <c r="A25" s="19" t="s">
        <v>33</v>
      </c>
      <c r="B25" s="20" t="s">
        <v>34</v>
      </c>
      <c r="C25" s="20">
        <f>EXP(-C20)</f>
        <v>0.83526541334059268</v>
      </c>
      <c r="D25" s="20"/>
    </row>
    <row r="27" spans="1:33" ht="15.75" x14ac:dyDescent="0.25">
      <c r="A27" s="13" t="s">
        <v>37</v>
      </c>
      <c r="B27" s="14" t="s">
        <v>21</v>
      </c>
      <c r="C27" s="14" t="s">
        <v>19</v>
      </c>
      <c r="D27" s="14" t="s">
        <v>15</v>
      </c>
      <c r="E27" s="26"/>
      <c r="F27" s="26"/>
      <c r="G27" s="26"/>
      <c r="H27" s="26"/>
      <c r="I27" s="26"/>
    </row>
    <row r="28" spans="1:33" ht="15.75" x14ac:dyDescent="0.25">
      <c r="A28" s="12" t="s">
        <v>38</v>
      </c>
      <c r="B28" s="39">
        <v>6.4100679999999993E-2</v>
      </c>
      <c r="C28" s="10"/>
      <c r="D28" s="6"/>
      <c r="E28" s="6"/>
    </row>
    <row r="29" spans="1:33" ht="15.75" x14ac:dyDescent="0.25">
      <c r="A29" s="12" t="s">
        <v>39</v>
      </c>
      <c r="B29" s="39">
        <v>8.2815239999999998E-2</v>
      </c>
      <c r="C29" s="6"/>
      <c r="D29" s="6"/>
      <c r="E29" s="6"/>
    </row>
    <row r="30" spans="1:33" ht="15.75" x14ac:dyDescent="0.25">
      <c r="A30" s="12" t="s">
        <v>40</v>
      </c>
      <c r="B30" s="39">
        <v>0.10218000000000001</v>
      </c>
      <c r="C30" s="6"/>
      <c r="D30" s="6"/>
      <c r="E30" s="6"/>
    </row>
    <row r="31" spans="1:33" ht="15.75" x14ac:dyDescent="0.25">
      <c r="A31" s="12" t="s">
        <v>41</v>
      </c>
      <c r="B31" s="39">
        <v>1.7414300000000001E-2</v>
      </c>
      <c r="C31" s="6"/>
      <c r="D31" s="6"/>
      <c r="E31" s="6"/>
    </row>
    <row r="32" spans="1:33" ht="15.75" x14ac:dyDescent="0.25">
      <c r="A32" s="18" t="s">
        <v>43</v>
      </c>
      <c r="B32" s="48">
        <f>AVERAGE(B28:B31)</f>
        <v>6.6627554999999991E-2</v>
      </c>
      <c r="C32" s="6">
        <v>0.15</v>
      </c>
      <c r="D32" s="6">
        <f>C32+B32</f>
        <v>0.21662755499999997</v>
      </c>
      <c r="E32" s="6"/>
    </row>
    <row r="33" spans="1:33" ht="15.75" x14ac:dyDescent="0.25">
      <c r="A33" s="12"/>
      <c r="B33" s="10"/>
      <c r="C33" s="10"/>
      <c r="D33" s="6"/>
    </row>
    <row r="34" spans="1:33" ht="15.75" x14ac:dyDescent="0.25">
      <c r="A34" s="12"/>
      <c r="B34" s="10"/>
      <c r="C34" s="10"/>
      <c r="D34" s="6"/>
    </row>
    <row r="35" spans="1:33" ht="15.75" x14ac:dyDescent="0.25">
      <c r="A35" s="6" t="s">
        <v>35</v>
      </c>
      <c r="B35" s="6"/>
      <c r="C35" s="6"/>
      <c r="D35" s="6"/>
      <c r="E35" s="50" t="s">
        <v>89</v>
      </c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</row>
    <row r="36" spans="1:33" ht="15.75" x14ac:dyDescent="0.25">
      <c r="A36" s="7" t="s">
        <v>11</v>
      </c>
      <c r="B36" s="7" t="s">
        <v>12</v>
      </c>
      <c r="C36" s="7" t="s">
        <v>13</v>
      </c>
      <c r="D36" s="7" t="s">
        <v>14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 spans="1:33" ht="15.75" x14ac:dyDescent="0.25">
      <c r="A37" s="8" t="s">
        <v>15</v>
      </c>
      <c r="B37" s="9" t="s">
        <v>16</v>
      </c>
      <c r="C37" s="32">
        <v>0.20677380000000001</v>
      </c>
      <c r="D37" s="32">
        <v>7.6614379999999996E-3</v>
      </c>
      <c r="E37" s="40">
        <f>E41+$C$40</f>
        <v>0.21700532478971232</v>
      </c>
      <c r="F37" s="40">
        <f t="shared" ref="F37:V37" si="26">F41+$C$40</f>
        <v>0.2270053247897123</v>
      </c>
      <c r="G37" s="40">
        <f t="shared" si="26"/>
        <v>0.23700532478971231</v>
      </c>
      <c r="H37" s="40">
        <f t="shared" si="26"/>
        <v>0.24700532478971232</v>
      </c>
      <c r="I37" s="40">
        <f t="shared" si="26"/>
        <v>0.25700532478971233</v>
      </c>
      <c r="J37" s="40">
        <f t="shared" si="26"/>
        <v>0.26700532478971234</v>
      </c>
      <c r="K37" s="40">
        <f t="shared" si="26"/>
        <v>0.27700532478971229</v>
      </c>
      <c r="L37" s="40">
        <f t="shared" si="26"/>
        <v>0.2870053247897123</v>
      </c>
      <c r="M37" s="40">
        <f t="shared" si="26"/>
        <v>0.29700532478971231</v>
      </c>
      <c r="N37" s="40">
        <f t="shared" si="26"/>
        <v>0.30700532478971232</v>
      </c>
      <c r="O37" s="40">
        <f t="shared" si="26"/>
        <v>0.31700532478971233</v>
      </c>
      <c r="P37" s="40">
        <f t="shared" si="26"/>
        <v>0.32700532478971234</v>
      </c>
      <c r="Q37" s="40">
        <f t="shared" si="26"/>
        <v>0.33700532478971235</v>
      </c>
      <c r="R37" s="40">
        <f t="shared" si="26"/>
        <v>0.34700532478971235</v>
      </c>
      <c r="S37" s="40">
        <f t="shared" si="26"/>
        <v>0.35700532478971231</v>
      </c>
      <c r="T37" s="40">
        <f t="shared" si="26"/>
        <v>0.19760532478971232</v>
      </c>
      <c r="U37" s="40">
        <f t="shared" si="26"/>
        <v>0.18760532478971231</v>
      </c>
      <c r="V37" s="40">
        <f t="shared" si="26"/>
        <v>0.1776053247897123</v>
      </c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</row>
    <row r="38" spans="1:33" ht="18.75" x14ac:dyDescent="0.25">
      <c r="A38" s="8" t="s">
        <v>17</v>
      </c>
      <c r="B38" s="6" t="s">
        <v>29</v>
      </c>
      <c r="C38" s="33">
        <v>0.813155874</v>
      </c>
      <c r="D38" s="34">
        <v>0.62367812</v>
      </c>
      <c r="E38" s="16">
        <f>EXP(-E37)</f>
        <v>0.80492568323359304</v>
      </c>
      <c r="F38" s="16">
        <f t="shared" ref="F38:S38" si="27">EXP(-F37)</f>
        <v>0.79691653886585423</v>
      </c>
      <c r="G38" s="16">
        <f t="shared" si="27"/>
        <v>0.78898708681610141</v>
      </c>
      <c r="H38" s="16">
        <f t="shared" si="27"/>
        <v>0.7811365341325216</v>
      </c>
      <c r="I38" s="16">
        <f t="shared" si="27"/>
        <v>0.77336409575330434</v>
      </c>
      <c r="J38" s="16">
        <f t="shared" si="27"/>
        <v>0.76566899442813463</v>
      </c>
      <c r="K38" s="16">
        <f t="shared" si="27"/>
        <v>0.75805046064046744</v>
      </c>
      <c r="L38" s="16">
        <f t="shared" si="27"/>
        <v>0.75050773253057501</v>
      </c>
      <c r="M38" s="16">
        <f>EXP(-M37)</f>
        <v>0.74304005581936095</v>
      </c>
      <c r="N38" s="16">
        <f t="shared" si="27"/>
        <v>0.73564668373293085</v>
      </c>
      <c r="O38" s="16">
        <f t="shared" si="27"/>
        <v>0.72832687692791498</v>
      </c>
      <c r="P38" s="16">
        <f t="shared" si="27"/>
        <v>0.72107990341753303</v>
      </c>
      <c r="Q38" s="16">
        <f t="shared" si="27"/>
        <v>0.71390503849839471</v>
      </c>
      <c r="R38" s="16">
        <f t="shared" si="27"/>
        <v>0.70680156467802902</v>
      </c>
      <c r="S38" s="16">
        <f t="shared" si="27"/>
        <v>0.69976877160313455</v>
      </c>
      <c r="T38" s="16">
        <f t="shared" ref="T38" si="28">EXP(-T37)</f>
        <v>0.82069369668443803</v>
      </c>
      <c r="U38" s="16">
        <f t="shared" ref="U38" si="29">EXP(-U37)</f>
        <v>0.82894180546104024</v>
      </c>
      <c r="V38" s="16">
        <f t="shared" ref="V38" si="30">EXP(-V37)</f>
        <v>0.83727280910897561</v>
      </c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</row>
    <row r="39" spans="1:33" ht="18.75" x14ac:dyDescent="0.25">
      <c r="A39" s="8" t="s">
        <v>18</v>
      </c>
      <c r="B39" s="6" t="s">
        <v>30</v>
      </c>
      <c r="C39" s="32">
        <f>1-EXP(-C37)</f>
        <v>0.18679642416637288</v>
      </c>
      <c r="D39" s="32"/>
      <c r="E39" s="40">
        <f>1-EXP(-E37)</f>
        <v>0.19507431676640696</v>
      </c>
      <c r="F39" s="40">
        <f t="shared" ref="F39:V39" si="31">1-EXP(-F37)</f>
        <v>0.20308346113414577</v>
      </c>
      <c r="G39" s="40">
        <f t="shared" si="31"/>
        <v>0.21101291318389859</v>
      </c>
      <c r="H39" s="40">
        <f t="shared" si="31"/>
        <v>0.2188634658674784</v>
      </c>
      <c r="I39" s="40">
        <f t="shared" si="31"/>
        <v>0.22663590424669566</v>
      </c>
      <c r="J39" s="40">
        <f t="shared" si="31"/>
        <v>0.23433100557186537</v>
      </c>
      <c r="K39" s="40">
        <f t="shared" si="31"/>
        <v>0.24194953935953256</v>
      </c>
      <c r="L39" s="40">
        <f t="shared" si="31"/>
        <v>0.24949226746942499</v>
      </c>
      <c r="M39" s="40">
        <f t="shared" si="31"/>
        <v>0.25695994418063905</v>
      </c>
      <c r="N39" s="40">
        <f t="shared" si="31"/>
        <v>0.26435331626706915</v>
      </c>
      <c r="O39" s="40">
        <f t="shared" si="31"/>
        <v>0.27167312307208502</v>
      </c>
      <c r="P39" s="40">
        <f t="shared" si="31"/>
        <v>0.27892009658246697</v>
      </c>
      <c r="Q39" s="40">
        <f t="shared" si="31"/>
        <v>0.28609496150160529</v>
      </c>
      <c r="R39" s="40">
        <f t="shared" si="31"/>
        <v>0.29319843532197098</v>
      </c>
      <c r="S39" s="40">
        <f t="shared" si="31"/>
        <v>0.30023122839686545</v>
      </c>
      <c r="T39" s="40">
        <f t="shared" si="31"/>
        <v>0.17930630331556197</v>
      </c>
      <c r="U39" s="40">
        <f t="shared" si="31"/>
        <v>0.17105819453895976</v>
      </c>
      <c r="V39" s="40">
        <f t="shared" si="31"/>
        <v>0.16272719089102439</v>
      </c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</row>
    <row r="40" spans="1:33" ht="15.75" x14ac:dyDescent="0.25">
      <c r="A40" s="8" t="s">
        <v>19</v>
      </c>
      <c r="B40" s="9" t="s">
        <v>20</v>
      </c>
      <c r="C40" s="33">
        <f>C44*C37/C39</f>
        <v>0.15100532478971232</v>
      </c>
      <c r="D40" s="32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</row>
    <row r="41" spans="1:33" ht="15.75" x14ac:dyDescent="0.25">
      <c r="A41" s="8" t="s">
        <v>21</v>
      </c>
      <c r="B41" s="9" t="s">
        <v>22</v>
      </c>
      <c r="C41" s="33">
        <f>C37-C40</f>
        <v>5.5768475210287688E-2</v>
      </c>
      <c r="D41" s="32"/>
      <c r="E41" s="16">
        <v>6.6000000000000003E-2</v>
      </c>
      <c r="F41" s="16">
        <v>7.5999999999999998E-2</v>
      </c>
      <c r="G41" s="16">
        <v>8.5999999999999993E-2</v>
      </c>
      <c r="H41" s="16">
        <v>9.6000000000000002E-2</v>
      </c>
      <c r="I41" s="16">
        <v>0.106</v>
      </c>
      <c r="J41" s="16">
        <v>0.11600000000000001</v>
      </c>
      <c r="K41" s="16">
        <v>0.126</v>
      </c>
      <c r="L41" s="16">
        <v>0.13600000000000001</v>
      </c>
      <c r="M41" s="16">
        <v>0.14599999999999999</v>
      </c>
      <c r="N41" s="16">
        <v>0.156</v>
      </c>
      <c r="O41" s="16">
        <v>0.16600000000000001</v>
      </c>
      <c r="P41" s="16">
        <v>0.17599999999999999</v>
      </c>
      <c r="Q41" s="16">
        <v>0.186</v>
      </c>
      <c r="R41" s="16">
        <v>0.19600000000000001</v>
      </c>
      <c r="S41" s="16">
        <v>0.20599999999999999</v>
      </c>
      <c r="T41" s="16">
        <v>4.6600000000000003E-2</v>
      </c>
      <c r="U41" s="16">
        <v>3.6600000000000001E-2</v>
      </c>
      <c r="V41" s="16">
        <v>2.6599999999999999E-2</v>
      </c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</row>
    <row r="42" spans="1:33" ht="15.75" x14ac:dyDescent="0.25">
      <c r="A42" s="11" t="s">
        <v>23</v>
      </c>
      <c r="B42" s="9" t="s">
        <v>24</v>
      </c>
      <c r="C42" s="32">
        <f>C41*C39/C37</f>
        <v>5.0380424166372867E-2</v>
      </c>
      <c r="D42" s="32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</row>
    <row r="43" spans="1:33" ht="18.75" x14ac:dyDescent="0.25">
      <c r="A43" s="11" t="s">
        <v>25</v>
      </c>
      <c r="B43" s="10" t="s">
        <v>31</v>
      </c>
      <c r="C43" s="33">
        <f>1-EXP(-C41)</f>
        <v>5.4241923015834637E-2</v>
      </c>
      <c r="D43" s="32"/>
      <c r="E43" s="16">
        <f>1-EXP(-E41)</f>
        <v>6.3869135708381153E-2</v>
      </c>
      <c r="F43" s="16">
        <f t="shared" ref="F43:V43" si="32">1-EXP(-F41)</f>
        <v>7.3183793440617761E-2</v>
      </c>
      <c r="G43" s="16">
        <f t="shared" si="32"/>
        <v>8.2405768779849065E-2</v>
      </c>
      <c r="H43" s="16">
        <f t="shared" si="32"/>
        <v>9.1535983931293807E-2</v>
      </c>
      <c r="I43" s="16">
        <f t="shared" si="32"/>
        <v>0.10057535192407596</v>
      </c>
      <c r="J43" s="16">
        <f t="shared" si="32"/>
        <v>0.10952477670252736</v>
      </c>
      <c r="K43" s="16">
        <f t="shared" si="32"/>
        <v>0.11838515321658394</v>
      </c>
      <c r="L43" s="16">
        <f t="shared" si="32"/>
        <v>0.12715736751128071</v>
      </c>
      <c r="M43" s="16">
        <f t="shared" si="32"/>
        <v>0.1358422968153572</v>
      </c>
      <c r="N43" s="16">
        <f t="shared" si="32"/>
        <v>0.14444080962898154</v>
      </c>
      <c r="O43" s="16">
        <f t="shared" si="32"/>
        <v>0.15295376581060038</v>
      </c>
      <c r="P43" s="16">
        <f t="shared" si="32"/>
        <v>0.16138201666292595</v>
      </c>
      <c r="Q43" s="16">
        <f t="shared" si="32"/>
        <v>0.16972640501806735</v>
      </c>
      <c r="R43" s="16">
        <f t="shared" si="32"/>
        <v>0.17798776532181348</v>
      </c>
      <c r="S43" s="16">
        <f t="shared" si="32"/>
        <v>0.18616692371707932</v>
      </c>
      <c r="T43" s="16">
        <f t="shared" si="32"/>
        <v>4.5530891113423011E-2</v>
      </c>
      <c r="U43" s="16">
        <f t="shared" si="32"/>
        <v>3.593831709243589E-2</v>
      </c>
      <c r="V43" s="16">
        <f t="shared" si="32"/>
        <v>2.6249336099770648E-2</v>
      </c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</row>
    <row r="44" spans="1:33" ht="15.75" x14ac:dyDescent="0.25">
      <c r="A44" s="11" t="s">
        <v>26</v>
      </c>
      <c r="B44" s="9" t="s">
        <v>27</v>
      </c>
      <c r="C44" s="35">
        <v>0.13641600000000001</v>
      </c>
      <c r="D44" s="32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t="18.75" x14ac:dyDescent="0.25">
      <c r="A45" s="19" t="s">
        <v>28</v>
      </c>
      <c r="B45" s="20" t="s">
        <v>32</v>
      </c>
      <c r="C45" s="36">
        <f>1-EXP(-C40)</f>
        <v>0.14015687983678471</v>
      </c>
      <c r="D45" s="37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</row>
    <row r="46" spans="1:33" x14ac:dyDescent="0.25">
      <c r="E46">
        <f>1-E43</f>
        <v>0.93613086429161885</v>
      </c>
      <c r="F46">
        <f t="shared" ref="F46:V46" si="33">1-F43</f>
        <v>0.92681620655938224</v>
      </c>
      <c r="G46">
        <f t="shared" si="33"/>
        <v>0.91759423122015094</v>
      </c>
      <c r="H46">
        <f t="shared" si="33"/>
        <v>0.90846401606870619</v>
      </c>
      <c r="I46">
        <f t="shared" si="33"/>
        <v>0.89942464807592404</v>
      </c>
      <c r="J46">
        <f t="shared" si="33"/>
        <v>0.89047522329747264</v>
      </c>
      <c r="K46">
        <f t="shared" si="33"/>
        <v>0.88161484678341606</v>
      </c>
      <c r="L46">
        <f t="shared" si="33"/>
        <v>0.87284263248871929</v>
      </c>
      <c r="M46">
        <f t="shared" si="33"/>
        <v>0.8641577031846428</v>
      </c>
      <c r="N46">
        <f t="shared" si="33"/>
        <v>0.85555919037101846</v>
      </c>
      <c r="O46">
        <f t="shared" si="33"/>
        <v>0.84704623418939962</v>
      </c>
      <c r="P46">
        <f t="shared" si="33"/>
        <v>0.83861798333707405</v>
      </c>
      <c r="Q46">
        <f t="shared" si="33"/>
        <v>0.83027359498193265</v>
      </c>
      <c r="R46">
        <f t="shared" si="33"/>
        <v>0.82201223467818652</v>
      </c>
      <c r="S46">
        <f>1-S43</f>
        <v>0.81383307628292068</v>
      </c>
      <c r="T46">
        <f t="shared" si="33"/>
        <v>0.95446910888657699</v>
      </c>
      <c r="U46">
        <f t="shared" si="33"/>
        <v>0.96406168290756411</v>
      </c>
      <c r="V46">
        <f t="shared" si="33"/>
        <v>0.97375066390022935</v>
      </c>
    </row>
  </sheetData>
  <mergeCells count="2">
    <mergeCell ref="E1:AG1"/>
    <mergeCell ref="E35:AG35"/>
  </mergeCells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2"/>
  <sheetViews>
    <sheetView workbookViewId="0">
      <selection activeCell="F22" sqref="F22"/>
    </sheetView>
  </sheetViews>
  <sheetFormatPr defaultRowHeight="15" x14ac:dyDescent="0.25"/>
  <sheetData>
    <row r="1" spans="1:4" x14ac:dyDescent="0.25">
      <c r="A1" t="s">
        <v>60</v>
      </c>
      <c r="B1" t="s">
        <v>59</v>
      </c>
      <c r="C1" t="s">
        <v>61</v>
      </c>
      <c r="D1" t="s">
        <v>62</v>
      </c>
    </row>
    <row r="2" spans="1:4" x14ac:dyDescent="0.25">
      <c r="A2">
        <v>0</v>
      </c>
      <c r="B2">
        <v>48000</v>
      </c>
    </row>
    <row r="3" spans="1:4" x14ac:dyDescent="0.25">
      <c r="A3">
        <v>1</v>
      </c>
      <c r="B3">
        <v>46716</v>
      </c>
      <c r="C3">
        <v>43938</v>
      </c>
      <c r="D3">
        <v>48480</v>
      </c>
    </row>
    <row r="4" spans="1:4" x14ac:dyDescent="0.25">
      <c r="A4">
        <v>2</v>
      </c>
      <c r="B4">
        <v>45466</v>
      </c>
      <c r="C4">
        <v>40219</v>
      </c>
      <c r="D4">
        <v>48965</v>
      </c>
    </row>
    <row r="5" spans="1:4" x14ac:dyDescent="0.25">
      <c r="A5">
        <v>3</v>
      </c>
      <c r="B5">
        <v>44249</v>
      </c>
      <c r="C5">
        <v>36815</v>
      </c>
      <c r="D5">
        <v>49454</v>
      </c>
    </row>
    <row r="6" spans="1:4" x14ac:dyDescent="0.25">
      <c r="A6">
        <v>4</v>
      </c>
      <c r="B6">
        <v>43066</v>
      </c>
      <c r="C6">
        <v>3699</v>
      </c>
      <c r="D6">
        <v>49949</v>
      </c>
    </row>
    <row r="7" spans="1:4" x14ac:dyDescent="0.25">
      <c r="A7">
        <v>5</v>
      </c>
      <c r="B7">
        <v>41913</v>
      </c>
      <c r="C7">
        <v>30847</v>
      </c>
      <c r="D7">
        <v>50448</v>
      </c>
    </row>
    <row r="8" spans="1:4" x14ac:dyDescent="0.25">
      <c r="A8">
        <v>6</v>
      </c>
      <c r="B8">
        <v>40792</v>
      </c>
      <c r="C8">
        <v>28236</v>
      </c>
      <c r="D8">
        <v>50953</v>
      </c>
    </row>
    <row r="9" spans="1:4" x14ac:dyDescent="0.25">
      <c r="A9">
        <v>7</v>
      </c>
      <c r="B9">
        <v>39701</v>
      </c>
      <c r="C9">
        <v>25846</v>
      </c>
      <c r="D9">
        <v>51462</v>
      </c>
    </row>
    <row r="10" spans="1:4" x14ac:dyDescent="0.25">
      <c r="A10">
        <v>8</v>
      </c>
      <c r="B10">
        <v>38638</v>
      </c>
      <c r="C10">
        <v>2369</v>
      </c>
      <c r="D10">
        <v>51977</v>
      </c>
    </row>
    <row r="11" spans="1:4" x14ac:dyDescent="0.25">
      <c r="A11">
        <v>9</v>
      </c>
      <c r="B11">
        <v>37605</v>
      </c>
      <c r="C11">
        <v>21657</v>
      </c>
      <c r="D11">
        <v>52497</v>
      </c>
    </row>
    <row r="12" spans="1:4" x14ac:dyDescent="0.25">
      <c r="A12">
        <v>10</v>
      </c>
      <c r="B12">
        <v>36598</v>
      </c>
      <c r="C12">
        <v>19824</v>
      </c>
      <c r="D12">
        <v>53022</v>
      </c>
    </row>
    <row r="13" spans="1:4" x14ac:dyDescent="0.25">
      <c r="A13">
        <v>11</v>
      </c>
      <c r="B13">
        <v>35619</v>
      </c>
      <c r="C13">
        <v>18146</v>
      </c>
      <c r="D13">
        <v>53552</v>
      </c>
    </row>
    <row r="14" spans="1:4" x14ac:dyDescent="0.25">
      <c r="A14">
        <v>12</v>
      </c>
      <c r="B14">
        <v>34666</v>
      </c>
      <c r="C14">
        <v>16610</v>
      </c>
      <c r="D14">
        <v>54088</v>
      </c>
    </row>
    <row r="15" spans="1:4" x14ac:dyDescent="0.25">
      <c r="A15">
        <v>13</v>
      </c>
      <c r="B15">
        <v>33739</v>
      </c>
      <c r="C15">
        <v>15204</v>
      </c>
      <c r="D15">
        <v>54628</v>
      </c>
    </row>
    <row r="16" spans="1:4" x14ac:dyDescent="0.25">
      <c r="A16">
        <v>14</v>
      </c>
      <c r="B16">
        <v>32836</v>
      </c>
      <c r="C16">
        <v>13918</v>
      </c>
      <c r="D16">
        <v>55174</v>
      </c>
    </row>
    <row r="17" spans="1:4" x14ac:dyDescent="0.25">
      <c r="A17">
        <v>15</v>
      </c>
      <c r="B17">
        <v>3158</v>
      </c>
      <c r="C17">
        <v>12740</v>
      </c>
      <c r="D17">
        <v>55727</v>
      </c>
    </row>
    <row r="18" spans="1:4" x14ac:dyDescent="0.25">
      <c r="A18">
        <v>16</v>
      </c>
      <c r="B18">
        <v>31103</v>
      </c>
      <c r="C18">
        <v>11661</v>
      </c>
      <c r="D18">
        <v>56284</v>
      </c>
    </row>
    <row r="19" spans="1:4" x14ac:dyDescent="0.25">
      <c r="A19">
        <v>17</v>
      </c>
      <c r="B19">
        <v>30270</v>
      </c>
      <c r="C19">
        <v>10674</v>
      </c>
      <c r="D19">
        <v>56847</v>
      </c>
    </row>
    <row r="20" spans="1:4" x14ac:dyDescent="0.25">
      <c r="A20">
        <v>18</v>
      </c>
      <c r="B20">
        <v>29460</v>
      </c>
      <c r="C20">
        <v>9771</v>
      </c>
      <c r="D20">
        <v>57415</v>
      </c>
    </row>
    <row r="21" spans="1:4" x14ac:dyDescent="0.25">
      <c r="A21">
        <v>19</v>
      </c>
      <c r="B21">
        <v>28672</v>
      </c>
      <c r="C21">
        <v>89444</v>
      </c>
      <c r="D21">
        <v>57989</v>
      </c>
    </row>
    <row r="22" spans="1:4" x14ac:dyDescent="0.25">
      <c r="A22">
        <v>20</v>
      </c>
      <c r="B22">
        <v>27905</v>
      </c>
      <c r="C22">
        <v>8184</v>
      </c>
      <c r="D22">
        <v>58569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1"/>
  <sheetViews>
    <sheetView topLeftCell="A10" workbookViewId="0">
      <selection activeCell="A17" sqref="A17"/>
    </sheetView>
  </sheetViews>
  <sheetFormatPr defaultRowHeight="15" x14ac:dyDescent="0.25"/>
  <cols>
    <col min="1" max="1" width="29.140625" bestFit="1" customWidth="1"/>
    <col min="5" max="5" width="23.28515625" bestFit="1" customWidth="1"/>
    <col min="11" max="11" width="11.5703125" bestFit="1" customWidth="1"/>
    <col min="12" max="13" width="11.5703125" customWidth="1"/>
    <col min="14" max="14" width="29.140625" bestFit="1" customWidth="1"/>
    <col min="15" max="15" width="25.7109375" bestFit="1" customWidth="1"/>
    <col min="16" max="16" width="28.85546875" bestFit="1" customWidth="1"/>
    <col min="17" max="17" width="30" bestFit="1" customWidth="1"/>
    <col min="18" max="18" width="12.28515625" bestFit="1" customWidth="1"/>
  </cols>
  <sheetData>
    <row r="1" spans="1:22" x14ac:dyDescent="0.25">
      <c r="A1" s="25" t="s">
        <v>63</v>
      </c>
      <c r="B1" s="25" t="s">
        <v>64</v>
      </c>
      <c r="C1" s="25" t="s">
        <v>65</v>
      </c>
      <c r="D1" s="25" t="s">
        <v>66</v>
      </c>
      <c r="E1" s="25" t="s">
        <v>67</v>
      </c>
      <c r="I1" t="s">
        <v>10</v>
      </c>
      <c r="J1" t="s">
        <v>85</v>
      </c>
      <c r="K1" s="28" t="s">
        <v>84</v>
      </c>
      <c r="L1" t="s">
        <v>83</v>
      </c>
      <c r="M1" t="s">
        <v>88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86</v>
      </c>
    </row>
    <row r="2" spans="1:22" x14ac:dyDescent="0.25">
      <c r="A2" s="28" t="s">
        <v>94</v>
      </c>
      <c r="B2" s="28">
        <v>658</v>
      </c>
      <c r="C2" s="29">
        <v>1.3585E-2</v>
      </c>
      <c r="D2" s="30">
        <v>-3.3952270000000002</v>
      </c>
      <c r="E2" s="28" t="s">
        <v>82</v>
      </c>
      <c r="I2">
        <v>1</v>
      </c>
      <c r="J2">
        <f>$B$2*(1-EXP(-$C$2*(I2-($D$2))))</f>
        <v>38.13868190293725</v>
      </c>
      <c r="K2">
        <f>$B$12*(1-EXP(-$C$12*(I2-($D$12))))</f>
        <v>33.416295230050913</v>
      </c>
      <c r="L2">
        <f>$B$13*(1-EXP(-$C$13*(I2-($D$13))))</f>
        <v>28.701847786644098</v>
      </c>
      <c r="M2">
        <f>$B$14*(1-EXP(-$C$14*(I2-($D$14))))</f>
        <v>44.465876937123078</v>
      </c>
      <c r="N2">
        <f>$B$3*(1-EXP(-$C$3*(I2-($D$3))))</f>
        <v>27.19084746632123</v>
      </c>
      <c r="O2">
        <f>$B$4*(1-EXP(-$C$4*(I2-($D$4))))</f>
        <v>25.574986266862801</v>
      </c>
      <c r="P2">
        <f>$B$5*(1-EXP(-$C$5*(I2-($D$5))))</f>
        <v>27.86629877616798</v>
      </c>
      <c r="Q2">
        <f>$B$6*(1-EXP(-$C$6*(I2-($D$6))))</f>
        <v>36.777857738698657</v>
      </c>
      <c r="R2">
        <f>$B$8*(1-EXP(-$C$8*(I2-($D$8))))</f>
        <v>9.1353325495169315</v>
      </c>
      <c r="S2">
        <f>$B$9*(1-EXP(-$C$9*(I2-($D$9))))</f>
        <v>6.3133857587321822</v>
      </c>
      <c r="T2">
        <f>$B$10*(1-EXP(-$C$10*(I2-($D$10))))</f>
        <v>7.1804992859429477</v>
      </c>
      <c r="U2">
        <f>$B$11*(1-EXP(-$C$11*(I2-($D$11))))</f>
        <v>22.236973317745594</v>
      </c>
    </row>
    <row r="3" spans="1:22" x14ac:dyDescent="0.25">
      <c r="A3" t="s">
        <v>68</v>
      </c>
      <c r="B3">
        <v>310</v>
      </c>
      <c r="C3" s="27">
        <v>2.7E-2</v>
      </c>
      <c r="D3">
        <v>-2.4</v>
      </c>
      <c r="E3" t="s">
        <v>78</v>
      </c>
      <c r="I3">
        <v>2</v>
      </c>
      <c r="J3">
        <f t="shared" ref="J3:J31" si="0">$B$2*(1-EXP(-$C$2*(I3-($D$2))))</f>
        <v>46.502557652661551</v>
      </c>
      <c r="K3">
        <f t="shared" ref="K3:K31" si="1">$B$12*(1-EXP(-$C$12*(I3-($D$12))))</f>
        <v>42.769562094861662</v>
      </c>
      <c r="L3">
        <f t="shared" ref="L3:L31" si="2">$B$13*(1-EXP(-$C$13*(I3-($D$13))))</f>
        <v>40.312378096339678</v>
      </c>
      <c r="M3">
        <f t="shared" ref="M3:M51" si="3">$B$14*(1-EXP(-$C$14*(I3-($D$14))))</f>
        <v>53.012465561204813</v>
      </c>
      <c r="N3">
        <f t="shared" ref="N3:N31" si="4">$B$3*(1-EXP(-$C$3*(I3-($D$3))))</f>
        <v>34.724532175372893</v>
      </c>
      <c r="O3">
        <f t="shared" ref="O3:O31" si="5">$B$4*(1-EXP(-$C$4*(I3-($D$4))))</f>
        <v>32.724230118707588</v>
      </c>
      <c r="P3">
        <f t="shared" ref="P3:P51" si="6">$B$5*(1-EXP(-$C$5*(I3-($D$5))))</f>
        <v>36.54921101803626</v>
      </c>
      <c r="Q3">
        <f t="shared" ref="Q3:Q51" si="7">$B$6*(1-EXP(-$C$6*(I3-($D$6))))</f>
        <v>44.283517485158242</v>
      </c>
      <c r="R3">
        <f t="shared" ref="R3:R51" si="8">$B$8*(1-EXP(-$C$8*(I3-($D$8))))</f>
        <v>18.045112934735815</v>
      </c>
      <c r="S3">
        <f t="shared" ref="S3:S51" si="9">$B$9*(1-EXP(-$C$9*(I3-($D$9))))</f>
        <v>12.458590759073799</v>
      </c>
      <c r="T3">
        <f t="shared" ref="T3:T51" si="10">$B$10*(1-EXP(-$C$10*(I3-($D$10))))</f>
        <v>14.134860106993681</v>
      </c>
      <c r="U3">
        <f t="shared" ref="U3:U51" si="11">$B$11*(1-EXP(-$C$11*(I3-($D$11))))</f>
        <v>29.243784929901409</v>
      </c>
    </row>
    <row r="4" spans="1:22" x14ac:dyDescent="0.25">
      <c r="A4" t="s">
        <v>69</v>
      </c>
      <c r="B4">
        <v>340</v>
      </c>
      <c r="C4" s="27">
        <v>2.3E-2</v>
      </c>
      <c r="D4">
        <v>-2.4</v>
      </c>
      <c r="E4" t="s">
        <v>79</v>
      </c>
      <c r="I4">
        <v>3</v>
      </c>
      <c r="J4">
        <f t="shared" si="0"/>
        <v>54.753578453198848</v>
      </c>
      <c r="K4">
        <f t="shared" si="1"/>
        <v>51.870242855458315</v>
      </c>
      <c r="L4">
        <f t="shared" si="2"/>
        <v>51.323572976374862</v>
      </c>
      <c r="M4">
        <f t="shared" si="3"/>
        <v>61.221720853818638</v>
      </c>
      <c r="N4">
        <f t="shared" si="4"/>
        <v>42.057528877028346</v>
      </c>
      <c r="O4">
        <f t="shared" si="5"/>
        <v>39.710917922462244</v>
      </c>
      <c r="P4">
        <f t="shared" si="6"/>
        <v>44.841756563039887</v>
      </c>
      <c r="Q4">
        <f t="shared" si="7"/>
        <v>51.531023188925985</v>
      </c>
      <c r="R4">
        <f t="shared" si="8"/>
        <v>26.734910058435442</v>
      </c>
      <c r="S4">
        <f t="shared" si="9"/>
        <v>18.440095127627892</v>
      </c>
      <c r="T4">
        <f t="shared" si="10"/>
        <v>20.870204336334989</v>
      </c>
      <c r="U4">
        <f t="shared" si="11"/>
        <v>36.057127029929582</v>
      </c>
    </row>
    <row r="5" spans="1:22" x14ac:dyDescent="0.25">
      <c r="A5" t="s">
        <v>70</v>
      </c>
      <c r="B5">
        <v>221</v>
      </c>
      <c r="C5" s="27">
        <v>4.5999999999999999E-2</v>
      </c>
      <c r="D5">
        <v>-1.93</v>
      </c>
      <c r="I5">
        <v>4</v>
      </c>
      <c r="J5">
        <f t="shared" si="0"/>
        <v>62.89326707221543</v>
      </c>
      <c r="K5">
        <f t="shared" si="1"/>
        <v>60.725158630169233</v>
      </c>
      <c r="L5">
        <f t="shared" si="2"/>
        <v>61.766370114147648</v>
      </c>
      <c r="M5">
        <f t="shared" si="3"/>
        <v>69.106957340973025</v>
      </c>
      <c r="N5">
        <f t="shared" si="4"/>
        <v>49.195183650645561</v>
      </c>
      <c r="O5">
        <f t="shared" si="5"/>
        <v>46.538745798907996</v>
      </c>
      <c r="P5">
        <f t="shared" si="6"/>
        <v>52.761485531896042</v>
      </c>
      <c r="Q5">
        <f t="shared" si="7"/>
        <v>58.529253950841742</v>
      </c>
      <c r="R5">
        <f t="shared" si="8"/>
        <v>35.210155326694981</v>
      </c>
      <c r="S5">
        <f t="shared" si="9"/>
        <v>24.262259645986934</v>
      </c>
      <c r="T5">
        <f t="shared" si="10"/>
        <v>27.393429555021218</v>
      </c>
      <c r="U5">
        <f t="shared" si="11"/>
        <v>42.682341627034184</v>
      </c>
    </row>
    <row r="6" spans="1:22" x14ac:dyDescent="0.25">
      <c r="A6" t="s">
        <v>71</v>
      </c>
      <c r="B6">
        <v>255</v>
      </c>
      <c r="C6" s="27">
        <v>3.5000000000000003E-2</v>
      </c>
      <c r="D6">
        <v>-3.45</v>
      </c>
      <c r="E6" t="s">
        <v>80</v>
      </c>
      <c r="I6">
        <v>5</v>
      </c>
      <c r="J6">
        <f t="shared" si="0"/>
        <v>70.923125730459645</v>
      </c>
      <c r="K6">
        <f t="shared" si="1"/>
        <v>69.340946332196438</v>
      </c>
      <c r="L6">
        <f t="shared" si="2"/>
        <v>71.670110194018733</v>
      </c>
      <c r="M6">
        <f t="shared" si="3"/>
        <v>76.680964025147404</v>
      </c>
      <c r="N6">
        <f t="shared" si="4"/>
        <v>56.142700162665676</v>
      </c>
      <c r="O6">
        <f t="shared" si="5"/>
        <v>53.211325828219785</v>
      </c>
      <c r="P6">
        <f t="shared" si="6"/>
        <v>60.325159026331072</v>
      </c>
      <c r="Q6">
        <f t="shared" si="7"/>
        <v>65.286783478767887</v>
      </c>
      <c r="R6">
        <f t="shared" si="8"/>
        <v>43.476146043699679</v>
      </c>
      <c r="S6">
        <f t="shared" si="9"/>
        <v>29.929328929935842</v>
      </c>
      <c r="T6">
        <f t="shared" si="10"/>
        <v>33.711216115703813</v>
      </c>
      <c r="U6">
        <f t="shared" si="11"/>
        <v>49.124623228820525</v>
      </c>
    </row>
    <row r="7" spans="1:22" x14ac:dyDescent="0.25">
      <c r="A7" t="s">
        <v>81</v>
      </c>
      <c r="C7" s="27"/>
      <c r="I7">
        <v>6</v>
      </c>
      <c r="J7">
        <f t="shared" si="0"/>
        <v>78.844636379004527</v>
      </c>
      <c r="K7">
        <f t="shared" si="1"/>
        <v>77.72406364409737</v>
      </c>
      <c r="L7">
        <f t="shared" si="2"/>
        <v>81.062619334588291</v>
      </c>
      <c r="M7">
        <f t="shared" si="3"/>
        <v>83.95602512767374</v>
      </c>
      <c r="N7">
        <f t="shared" si="4"/>
        <v>62.905143460316467</v>
      </c>
      <c r="O7">
        <f t="shared" si="5"/>
        <v>59.732187960840989</v>
      </c>
      <c r="P7">
        <f t="shared" si="6"/>
        <v>67.548784601826171</v>
      </c>
      <c r="Q7">
        <f t="shared" si="7"/>
        <v>71.811890591453832</v>
      </c>
      <c r="R7">
        <f t="shared" si="8"/>
        <v>51.538048722728611</v>
      </c>
      <c r="S7">
        <f t="shared" si="9"/>
        <v>35.445434523964785</v>
      </c>
      <c r="T7">
        <f t="shared" si="10"/>
        <v>39.830033983896428</v>
      </c>
      <c r="U7">
        <f t="shared" si="11"/>
        <v>55.389022914055239</v>
      </c>
    </row>
    <row r="8" spans="1:22" x14ac:dyDescent="0.25">
      <c r="A8" t="s">
        <v>72</v>
      </c>
      <c r="B8">
        <v>370</v>
      </c>
      <c r="C8" s="27">
        <v>2.5000000000000001E-2</v>
      </c>
      <c r="D8">
        <v>0</v>
      </c>
      <c r="E8" t="s">
        <v>77</v>
      </c>
      <c r="I8">
        <v>7</v>
      </c>
      <c r="J8">
        <f t="shared" si="0"/>
        <v>86.659260972749351</v>
      </c>
      <c r="K8">
        <f t="shared" si="1"/>
        <v>85.880793857929987</v>
      </c>
      <c r="L8">
        <f t="shared" si="2"/>
        <v>89.970287270561755</v>
      </c>
      <c r="M8">
        <f t="shared" si="3"/>
        <v>90.943940012417585</v>
      </c>
      <c r="N8">
        <f t="shared" si="4"/>
        <v>69.487443664255736</v>
      </c>
      <c r="O8">
        <f t="shared" si="5"/>
        <v>66.104781884909499</v>
      </c>
      <c r="P8">
        <f t="shared" si="6"/>
        <v>74.447650145578052</v>
      </c>
      <c r="Q8">
        <f t="shared" si="7"/>
        <v>78.112569361124173</v>
      </c>
      <c r="R8">
        <f t="shared" si="8"/>
        <v>59.400902315393274</v>
      </c>
      <c r="S8">
        <f t="shared" si="9"/>
        <v>40.81459791334813</v>
      </c>
      <c r="T8">
        <f t="shared" si="10"/>
        <v>45.756149363784765</v>
      </c>
      <c r="U8">
        <f t="shared" si="11"/>
        <v>61.480452292970874</v>
      </c>
    </row>
    <row r="9" spans="1:22" x14ac:dyDescent="0.25">
      <c r="A9" t="s">
        <v>73</v>
      </c>
      <c r="B9">
        <v>237</v>
      </c>
      <c r="C9" s="27">
        <v>2.7E-2</v>
      </c>
      <c r="D9">
        <v>0</v>
      </c>
      <c r="E9" t="s">
        <v>77</v>
      </c>
      <c r="I9">
        <v>8</v>
      </c>
      <c r="J9">
        <f t="shared" si="0"/>
        <v>94.368441740230807</v>
      </c>
      <c r="K9">
        <f t="shared" si="1"/>
        <v>93.817250584689447</v>
      </c>
      <c r="L9">
        <f t="shared" si="2"/>
        <v>98.418141498868437</v>
      </c>
      <c r="M9">
        <f t="shared" si="3"/>
        <v>97.656042323072782</v>
      </c>
      <c r="N9">
        <f t="shared" si="4"/>
        <v>75.894399562847951</v>
      </c>
      <c r="O9">
        <f t="shared" si="5"/>
        <v>72.332478851223215</v>
      </c>
      <c r="P9">
        <f t="shared" si="6"/>
        <v>81.036356231372793</v>
      </c>
      <c r="Q9">
        <f t="shared" si="7"/>
        <v>84.196538907216862</v>
      </c>
      <c r="R9">
        <f t="shared" si="8"/>
        <v>67.06962136114673</v>
      </c>
      <c r="S9">
        <f t="shared" si="9"/>
        <v>46.040733455985325</v>
      </c>
      <c r="T9">
        <f t="shared" si="10"/>
        <v>51.495631115367367</v>
      </c>
      <c r="U9">
        <f t="shared" si="11"/>
        <v>67.40368735821977</v>
      </c>
    </row>
    <row r="10" spans="1:22" x14ac:dyDescent="0.25">
      <c r="A10" t="s">
        <v>74</v>
      </c>
      <c r="B10">
        <v>228</v>
      </c>
      <c r="C10" s="27">
        <v>3.2000000000000001E-2</v>
      </c>
      <c r="D10">
        <v>0</v>
      </c>
      <c r="E10" t="s">
        <v>77</v>
      </c>
      <c r="I10">
        <v>9</v>
      </c>
      <c r="J10">
        <f t="shared" si="0"/>
        <v>101.97360144979348</v>
      </c>
      <c r="K10">
        <f t="shared" si="1"/>
        <v>101.53938233656574</v>
      </c>
      <c r="L10">
        <f t="shared" si="2"/>
        <v>106.42991759735854</v>
      </c>
      <c r="M10">
        <f t="shared" si="3"/>
        <v>104.10321836510812</v>
      </c>
      <c r="N10">
        <f t="shared" si="4"/>
        <v>82.1306821106934</v>
      </c>
      <c r="O10">
        <f t="shared" si="5"/>
        <v>78.41857345671022</v>
      </c>
      <c r="P10">
        <f t="shared" si="6"/>
        <v>87.328847019848084</v>
      </c>
      <c r="Q10">
        <f t="shared" si="7"/>
        <v>90.071252853270096</v>
      </c>
      <c r="R10">
        <f t="shared" si="8"/>
        <v>74.548999059030493</v>
      </c>
      <c r="S10">
        <f t="shared" si="9"/>
        <v>51.127651236141119</v>
      </c>
      <c r="T10">
        <f t="shared" si="10"/>
        <v>57.054356969498592</v>
      </c>
      <c r="U10">
        <f t="shared" si="11"/>
        <v>73.163372229497028</v>
      </c>
    </row>
    <row r="11" spans="1:22" x14ac:dyDescent="0.25">
      <c r="A11" t="s">
        <v>75</v>
      </c>
      <c r="B11">
        <v>276</v>
      </c>
      <c r="C11" s="27">
        <v>2.8000000000000001E-2</v>
      </c>
      <c r="D11">
        <v>-2</v>
      </c>
      <c r="E11" t="s">
        <v>76</v>
      </c>
      <c r="I11">
        <v>10</v>
      </c>
      <c r="J11">
        <f t="shared" si="0"/>
        <v>109.4761436721691</v>
      </c>
      <c r="K11">
        <f t="shared" si="1"/>
        <v>109.05297698545687</v>
      </c>
      <c r="L11">
        <f t="shared" si="2"/>
        <v>114.02812591365002</v>
      </c>
      <c r="M11">
        <f t="shared" si="3"/>
        <v>110.29592476217988</v>
      </c>
      <c r="N11">
        <f t="shared" si="4"/>
        <v>88.200837833960733</v>
      </c>
      <c r="O11">
        <f t="shared" si="5"/>
        <v>84.366285387347574</v>
      </c>
      <c r="P11">
        <f t="shared" si="6"/>
        <v>93.338439769540514</v>
      </c>
      <c r="Q11">
        <f t="shared" si="7"/>
        <v>95.743908458542947</v>
      </c>
      <c r="R11">
        <f t="shared" si="8"/>
        <v>81.843710263580192</v>
      </c>
      <c r="S11">
        <f t="shared" si="9"/>
        <v>56.079059842165805</v>
      </c>
      <c r="T11">
        <f t="shared" si="10"/>
        <v>62.438019547198465</v>
      </c>
      <c r="U11">
        <f t="shared" si="11"/>
        <v>78.764022794768195</v>
      </c>
    </row>
    <row r="12" spans="1:22" x14ac:dyDescent="0.25">
      <c r="A12" s="28" t="s">
        <v>92</v>
      </c>
      <c r="B12" s="28">
        <v>379.76789409000003</v>
      </c>
      <c r="C12" s="28">
        <v>2.7376459999999998E-2</v>
      </c>
      <c r="D12" s="28">
        <v>-2.3644167399999998</v>
      </c>
      <c r="E12" t="s">
        <v>82</v>
      </c>
      <c r="I12">
        <v>11</v>
      </c>
      <c r="J12">
        <f t="shared" si="0"/>
        <v>116.8774530395125</v>
      </c>
      <c r="K12">
        <f t="shared" si="1"/>
        <v>116.36366610107946</v>
      </c>
      <c r="L12">
        <f t="shared" si="2"/>
        <v>121.23411481149758</v>
      </c>
      <c r="M12">
        <f t="shared" si="3"/>
        <v>116.24420541564668</v>
      </c>
      <c r="N12">
        <f t="shared" si="4"/>
        <v>94.109292145006336</v>
      </c>
      <c r="O12">
        <f t="shared" si="5"/>
        <v>90.17876112145025</v>
      </c>
      <c r="P12">
        <f t="shared" si="6"/>
        <v>99.07785302117388</v>
      </c>
      <c r="Q12">
        <f t="shared" si="7"/>
        <v>101.22145543555825</v>
      </c>
      <c r="R12">
        <f t="shared" si="8"/>
        <v>88.958314406761659</v>
      </c>
      <c r="S12">
        <f t="shared" si="9"/>
        <v>60.898569070220255</v>
      </c>
      <c r="T12">
        <f t="shared" si="10"/>
        <v>67.652132189394266</v>
      </c>
      <c r="U12">
        <f t="shared" si="11"/>
        <v>84.210030250956677</v>
      </c>
    </row>
    <row r="13" spans="1:22" x14ac:dyDescent="0.25">
      <c r="A13" s="28" t="s">
        <v>93</v>
      </c>
      <c r="B13" s="28">
        <v>253.625</v>
      </c>
      <c r="C13" s="31">
        <v>5.2999999999999999E-2</v>
      </c>
      <c r="D13" s="28">
        <v>-1.266</v>
      </c>
      <c r="E13" t="s">
        <v>82</v>
      </c>
      <c r="I13">
        <v>12</v>
      </c>
      <c r="J13">
        <f t="shared" si="0"/>
        <v>124.17889550094252</v>
      </c>
      <c r="K13">
        <f t="shared" si="1"/>
        <v>123.47692917192802</v>
      </c>
      <c r="L13">
        <f t="shared" si="2"/>
        <v>128.06813065238555</v>
      </c>
      <c r="M13">
        <f t="shared" si="3"/>
        <v>121.95770779469341</v>
      </c>
      <c r="N13">
        <f t="shared" si="4"/>
        <v>99.860352568695447</v>
      </c>
      <c r="O13">
        <f t="shared" si="5"/>
        <v>95.859075594231271</v>
      </c>
      <c r="P13">
        <f t="shared" si="6"/>
        <v>104.55923351483719</v>
      </c>
      <c r="Q13">
        <f t="shared" si="7"/>
        <v>106.51060446436948</v>
      </c>
      <c r="R13">
        <f t="shared" si="8"/>
        <v>95.897258347764392</v>
      </c>
      <c r="S13">
        <f t="shared" si="9"/>
        <v>65.589692555977365</v>
      </c>
      <c r="T13">
        <f t="shared" si="10"/>
        <v>72.702034603063254</v>
      </c>
      <c r="U13">
        <f t="shared" si="11"/>
        <v>89.505664546867223</v>
      </c>
    </row>
    <row r="14" spans="1:22" x14ac:dyDescent="0.25">
      <c r="A14" t="s">
        <v>88</v>
      </c>
      <c r="B14">
        <v>261</v>
      </c>
      <c r="C14" s="27">
        <v>4.027E-2</v>
      </c>
      <c r="D14">
        <v>-3.6379999999999999</v>
      </c>
      <c r="E14" t="s">
        <v>87</v>
      </c>
      <c r="I14">
        <v>13</v>
      </c>
      <c r="J14">
        <f t="shared" si="0"/>
        <v>131.38181857463491</v>
      </c>
      <c r="K14">
        <f t="shared" si="1"/>
        <v>130.39809771224674</v>
      </c>
      <c r="L14">
        <f t="shared" si="2"/>
        <v>134.54937468087115</v>
      </c>
      <c r="M14">
        <f t="shared" si="3"/>
        <v>127.44569858348491</v>
      </c>
      <c r="N14">
        <f t="shared" si="4"/>
        <v>105.458211882779</v>
      </c>
      <c r="O14">
        <f t="shared" si="5"/>
        <v>101.41023382451459</v>
      </c>
      <c r="P14">
        <f t="shared" si="6"/>
        <v>109.79418189701929</v>
      </c>
      <c r="Q14">
        <f t="shared" si="7"/>
        <v>111.61783541398304</v>
      </c>
      <c r="R14">
        <f t="shared" si="8"/>
        <v>102.66487915243329</v>
      </c>
      <c r="S14">
        <f t="shared" si="9"/>
        <v>70.155850336217839</v>
      </c>
      <c r="T14">
        <f t="shared" si="10"/>
        <v>77.592898329559304</v>
      </c>
      <c r="U14">
        <f t="shared" si="11"/>
        <v>94.655077731044344</v>
      </c>
    </row>
    <row r="15" spans="1:22" x14ac:dyDescent="0.25">
      <c r="I15">
        <v>14</v>
      </c>
      <c r="J15">
        <f t="shared" si="0"/>
        <v>138.48755159651358</v>
      </c>
      <c r="K15">
        <f t="shared" si="1"/>
        <v>137.13235925809218</v>
      </c>
      <c r="L15">
        <f t="shared" si="2"/>
        <v>140.69605697350713</v>
      </c>
      <c r="M15">
        <f t="shared" si="3"/>
        <v>132.71707871072758</v>
      </c>
      <c r="N15">
        <f t="shared" si="4"/>
        <v>110.90695117461394</v>
      </c>
      <c r="O15">
        <f t="shared" si="5"/>
        <v>106.83517250445969</v>
      </c>
      <c r="P15">
        <f t="shared" si="6"/>
        <v>114.79377727190563</v>
      </c>
      <c r="Q15">
        <f t="shared" si="7"/>
        <v>116.54940528100819</v>
      </c>
      <c r="R15">
        <f t="shared" si="8"/>
        <v>109.26540680407602</v>
      </c>
      <c r="S15">
        <f t="shared" si="9"/>
        <v>74.600371342188737</v>
      </c>
      <c r="T15">
        <f t="shared" si="10"/>
        <v>82.329732040723101</v>
      </c>
      <c r="U15">
        <f t="shared" si="11"/>
        <v>99.66230720719112</v>
      </c>
    </row>
    <row r="16" spans="1:22" x14ac:dyDescent="0.25">
      <c r="I16">
        <v>15</v>
      </c>
      <c r="J16">
        <f t="shared" si="0"/>
        <v>145.49740596558624</v>
      </c>
      <c r="K16">
        <f t="shared" si="1"/>
        <v>143.68476125548156</v>
      </c>
      <c r="L16">
        <f t="shared" si="2"/>
        <v>146.52544760292193</v>
      </c>
      <c r="M16">
        <f t="shared" si="3"/>
        <v>137.78039778601487</v>
      </c>
      <c r="N16">
        <f t="shared" si="4"/>
        <v>116.21054281645679</v>
      </c>
      <c r="O16">
        <f t="shared" si="5"/>
        <v>112.13676155314059</v>
      </c>
      <c r="P16">
        <f t="shared" si="6"/>
        <v>119.56860064889668</v>
      </c>
      <c r="Q16">
        <f t="shared" si="7"/>
        <v>121.31135585526029</v>
      </c>
      <c r="R16">
        <f t="shared" si="8"/>
        <v>115.70296684734028</v>
      </c>
      <c r="S16">
        <f t="shared" si="9"/>
        <v>78.926495826541569</v>
      </c>
      <c r="T16">
        <f t="shared" si="10"/>
        <v>86.917386668199896</v>
      </c>
      <c r="U16">
        <f t="shared" si="11"/>
        <v>104.53127889970058</v>
      </c>
    </row>
    <row r="17" spans="9:21" x14ac:dyDescent="0.25">
      <c r="I17">
        <v>16</v>
      </c>
      <c r="J17">
        <f t="shared" si="0"/>
        <v>152.41267538596972</v>
      </c>
      <c r="K17">
        <f t="shared" si="1"/>
        <v>150.06021484354105</v>
      </c>
      <c r="L17">
        <f t="shared" si="2"/>
        <v>152.05392516081056</v>
      </c>
      <c r="M17">
        <f t="shared" si="3"/>
        <v>142.64386796637126</v>
      </c>
      <c r="N17">
        <f t="shared" si="4"/>
        <v>121.37285336149908</v>
      </c>
      <c r="O17">
        <f t="shared" si="5"/>
        <v>117.3178056347997</v>
      </c>
      <c r="P17">
        <f t="shared" si="6"/>
        <v>124.1287573359723</v>
      </c>
      <c r="Q17">
        <f t="shared" si="7"/>
        <v>125.90952112170893</v>
      </c>
      <c r="R17">
        <f t="shared" si="8"/>
        <v>121.98158296681345</v>
      </c>
      <c r="S17">
        <f t="shared" si="9"/>
        <v>83.137377725620055</v>
      </c>
      <c r="T17">
        <f t="shared" si="10"/>
        <v>91.360560371217247</v>
      </c>
      <c r="U17">
        <f t="shared" si="11"/>
        <v>109.26581033178135</v>
      </c>
    </row>
    <row r="18" spans="9:21" x14ac:dyDescent="0.25">
      <c r="I18">
        <v>17</v>
      </c>
      <c r="J18">
        <f t="shared" si="0"/>
        <v>159.23463610564983</v>
      </c>
      <c r="K18">
        <f t="shared" si="1"/>
        <v>156.26349853549033</v>
      </c>
      <c r="L18">
        <f t="shared" si="2"/>
        <v>157.29702277616906</v>
      </c>
      <c r="M18">
        <f t="shared" si="3"/>
        <v>147.31537727548462</v>
      </c>
      <c r="N18">
        <f t="shared" si="4"/>
        <v>126.39764636275561</v>
      </c>
      <c r="O18">
        <f t="shared" si="5"/>
        <v>122.38104564258072</v>
      </c>
      <c r="P18">
        <f t="shared" si="6"/>
        <v>128.48389832629411</v>
      </c>
      <c r="Q18">
        <f t="shared" si="7"/>
        <v>130.34953440783914</v>
      </c>
      <c r="R18">
        <f t="shared" si="8"/>
        <v>128.10517950195651</v>
      </c>
      <c r="S18">
        <f t="shared" si="9"/>
        <v>87.23608695881947</v>
      </c>
      <c r="T18">
        <f t="shared" si="10"/>
        <v>95.663803347910743</v>
      </c>
      <c r="U18">
        <f t="shared" si="11"/>
        <v>113.86961361859154</v>
      </c>
    </row>
    <row r="19" spans="9:21" x14ac:dyDescent="0.25">
      <c r="I19">
        <v>18</v>
      </c>
      <c r="J19">
        <f t="shared" si="0"/>
        <v>165.96454715201895</v>
      </c>
      <c r="K19">
        <f t="shared" si="1"/>
        <v>162.29926180022082</v>
      </c>
      <c r="L19">
        <f t="shared" si="2"/>
        <v>162.26947175806868</v>
      </c>
      <c r="M19">
        <f t="shared" si="3"/>
        <v>151.8025023972292</v>
      </c>
      <c r="N19">
        <f t="shared" si="4"/>
        <v>131.2885851168615</v>
      </c>
      <c r="O19">
        <f t="shared" si="5"/>
        <v>127.32916014852501</v>
      </c>
      <c r="P19">
        <f t="shared" si="6"/>
        <v>132.64324072330828</v>
      </c>
      <c r="Q19">
        <f t="shared" si="7"/>
        <v>134.63683528518209</v>
      </c>
      <c r="R19">
        <f t="shared" si="8"/>
        <v>134.07758389994387</v>
      </c>
      <c r="S19">
        <f t="shared" si="9"/>
        <v>91.225611666693709</v>
      </c>
      <c r="T19">
        <f t="shared" si="10"/>
        <v>99.831522495124489</v>
      </c>
      <c r="U19">
        <f t="shared" si="11"/>
        <v>118.34629837772709</v>
      </c>
    </row>
    <row r="20" spans="9:21" x14ac:dyDescent="0.25">
      <c r="I20">
        <v>19</v>
      </c>
      <c r="J20">
        <f t="shared" si="0"/>
        <v>172.60365056423646</v>
      </c>
      <c r="K20">
        <f t="shared" si="1"/>
        <v>168.17202854715362</v>
      </c>
      <c r="L20">
        <f t="shared" si="2"/>
        <v>166.98524298559019</v>
      </c>
      <c r="M20">
        <f t="shared" si="3"/>
        <v>156.11252096422905</v>
      </c>
      <c r="N20">
        <f t="shared" si="4"/>
        <v>136.04923533477745</v>
      </c>
      <c r="O20">
        <f t="shared" si="5"/>
        <v>132.16476682059871</v>
      </c>
      <c r="P20">
        <f t="shared" si="6"/>
        <v>136.61558724757572</v>
      </c>
      <c r="Q20">
        <f t="shared" si="7"/>
        <v>138.77667623347023</v>
      </c>
      <c r="R20">
        <f t="shared" si="8"/>
        <v>139.9025291079426</v>
      </c>
      <c r="S20">
        <f t="shared" si="9"/>
        <v>95.108860389442185</v>
      </c>
      <c r="T20">
        <f t="shared" si="10"/>
        <v>103.8679859214585</v>
      </c>
      <c r="U20">
        <f t="shared" si="11"/>
        <v>122.69937455934696</v>
      </c>
    </row>
    <row r="21" spans="9:21" x14ac:dyDescent="0.25">
      <c r="I21">
        <v>20</v>
      </c>
      <c r="J21">
        <f t="shared" si="0"/>
        <v>179.15317162245285</v>
      </c>
      <c r="K21">
        <f t="shared" si="1"/>
        <v>173.88620051698803</v>
      </c>
      <c r="L21">
        <f t="shared" si="2"/>
        <v>171.4575861612108</v>
      </c>
      <c r="M21">
        <f t="shared" si="3"/>
        <v>160.25242336139269</v>
      </c>
      <c r="N21">
        <f t="shared" si="4"/>
        <v>140.68306774135127</v>
      </c>
      <c r="O21">
        <f t="shared" si="5"/>
        <v>136.8904238075001</v>
      </c>
      <c r="P21">
        <f t="shared" si="6"/>
        <v>140.40934486661354</v>
      </c>
      <c r="Q21">
        <f t="shared" si="7"/>
        <v>142.77412907558207</v>
      </c>
      <c r="R21">
        <f t="shared" si="8"/>
        <v>145.58365590632565</v>
      </c>
      <c r="S21">
        <f t="shared" si="9"/>
        <v>98.888664187364455</v>
      </c>
      <c r="T21">
        <f t="shared" si="10"/>
        <v>107.77732731818493</v>
      </c>
      <c r="U21">
        <f t="shared" si="11"/>
        <v>126.9322551981537</v>
      </c>
    </row>
    <row r="22" spans="9:21" x14ac:dyDescent="0.25">
      <c r="I22">
        <v>21</v>
      </c>
      <c r="J22">
        <f t="shared" si="0"/>
        <v>185.61431907394174</v>
      </c>
      <c r="K22">
        <f t="shared" si="1"/>
        <v>179.44606058088289</v>
      </c>
      <c r="L22">
        <f t="shared" si="2"/>
        <v>175.69906703793092</v>
      </c>
      <c r="M22">
        <f t="shared" si="3"/>
        <v>164.22892406356283</v>
      </c>
      <c r="N22">
        <f t="shared" si="4"/>
        <v>145.19346060562961</v>
      </c>
      <c r="O22">
        <f t="shared" si="5"/>
        <v>141.50863109197991</v>
      </c>
      <c r="P22">
        <f t="shared" si="6"/>
        <v>144.03254258717539</v>
      </c>
      <c r="Q22">
        <f t="shared" si="7"/>
        <v>146.63409119115948</v>
      </c>
      <c r="R22">
        <f t="shared" si="8"/>
        <v>151.12451518427841</v>
      </c>
      <c r="S22">
        <f t="shared" si="9"/>
        <v>102.56777870482846</v>
      </c>
      <c r="T22">
        <f t="shared" si="10"/>
        <v>111.56355019250917</v>
      </c>
      <c r="U22">
        <f t="shared" si="11"/>
        <v>131.04825908938761</v>
      </c>
    </row>
    <row r="23" spans="9:21" x14ac:dyDescent="0.25">
      <c r="I23">
        <v>22</v>
      </c>
      <c r="J23">
        <f t="shared" si="0"/>
        <v>191.98828535618006</v>
      </c>
      <c r="K23">
        <f t="shared" si="1"/>
        <v>184.85577595054284</v>
      </c>
      <c r="L23">
        <f t="shared" si="2"/>
        <v>179.72160272473818</v>
      </c>
      <c r="M23">
        <f t="shared" si="3"/>
        <v>168.04847252566981</v>
      </c>
      <c r="N23">
        <f t="shared" si="4"/>
        <v>149.58370220376611</v>
      </c>
      <c r="O23">
        <f t="shared" si="5"/>
        <v>146.02183181339043</v>
      </c>
      <c r="P23">
        <f t="shared" si="6"/>
        <v>147.49284844762573</v>
      </c>
      <c r="Q23">
        <f t="shared" si="7"/>
        <v>150.36129151651008</v>
      </c>
      <c r="R23">
        <f t="shared" si="8"/>
        <v>156.52857015921995</v>
      </c>
      <c r="S23">
        <f t="shared" si="9"/>
        <v>106.14888617925745</v>
      </c>
      <c r="T23">
        <f t="shared" si="10"/>
        <v>115.230531967511</v>
      </c>
      <c r="U23">
        <f t="shared" si="11"/>
        <v>135.05061339093214</v>
      </c>
    </row>
    <row r="24" spans="9:21" x14ac:dyDescent="0.25">
      <c r="I24">
        <v>23</v>
      </c>
      <c r="J24">
        <f t="shared" si="0"/>
        <v>198.2762468169185</v>
      </c>
      <c r="K24">
        <f t="shared" si="1"/>
        <v>190.11940130161577</v>
      </c>
      <c r="L24">
        <f t="shared" si="2"/>
        <v>183.53649516960297</v>
      </c>
      <c r="M24">
        <f t="shared" si="3"/>
        <v>171.71726364305158</v>
      </c>
      <c r="N24">
        <f t="shared" si="4"/>
        <v>153.85699321632006</v>
      </c>
      <c r="O24">
        <f t="shared" si="5"/>
        <v>150.43241356016344</v>
      </c>
      <c r="P24">
        <f t="shared" si="6"/>
        <v>150.79758574637023</v>
      </c>
      <c r="Q24">
        <f t="shared" si="7"/>
        <v>153.96029633814555</v>
      </c>
      <c r="R24">
        <f t="shared" si="8"/>
        <v>161.79919854142639</v>
      </c>
      <c r="S24">
        <f t="shared" si="9"/>
        <v>109.63459739659972</v>
      </c>
      <c r="T24">
        <f t="shared" si="10"/>
        <v>118.78202795296474</v>
      </c>
      <c r="U24">
        <f t="shared" si="11"/>
        <v>138.94245615357102</v>
      </c>
    </row>
    <row r="25" spans="9:21" x14ac:dyDescent="0.25">
      <c r="I25">
        <v>24</v>
      </c>
      <c r="J25">
        <f t="shared" si="0"/>
        <v>204.47936393128268</v>
      </c>
      <c r="K25">
        <f t="shared" si="1"/>
        <v>195.24088181274274</v>
      </c>
      <c r="L25">
        <f t="shared" si="2"/>
        <v>187.15446291408242</v>
      </c>
      <c r="M25">
        <f t="shared" si="3"/>
        <v>175.24124779890494</v>
      </c>
      <c r="N25">
        <f t="shared" si="4"/>
        <v>158.01644906169437</v>
      </c>
      <c r="O25">
        <f t="shared" si="5"/>
        <v>154.74270963289993</v>
      </c>
      <c r="P25">
        <f t="shared" si="6"/>
        <v>153.95374854068805</v>
      </c>
      <c r="Q25">
        <f t="shared" si="7"/>
        <v>157.43551488705387</v>
      </c>
      <c r="R25">
        <f t="shared" si="8"/>
        <v>166.93969464521024</v>
      </c>
      <c r="S25">
        <f t="shared" si="9"/>
        <v>113.02745359470731</v>
      </c>
      <c r="T25">
        <f t="shared" si="10"/>
        <v>122.22167519110457</v>
      </c>
      <c r="U25">
        <f t="shared" si="11"/>
        <v>142.72683878138059</v>
      </c>
    </row>
    <row r="26" spans="9:21" x14ac:dyDescent="0.25">
      <c r="I26">
        <v>25</v>
      </c>
      <c r="J26">
        <f t="shared" si="0"/>
        <v>210.59878151594432</v>
      </c>
      <c r="K26">
        <f t="shared" si="1"/>
        <v>200.22405612253795</v>
      </c>
      <c r="L26">
        <f t="shared" si="2"/>
        <v>190.58567120875244</v>
      </c>
      <c r="M26">
        <f t="shared" si="3"/>
        <v>178.62614051516516</v>
      </c>
      <c r="N26">
        <f t="shared" si="4"/>
        <v>162.06510216741353</v>
      </c>
      <c r="O26">
        <f t="shared" si="5"/>
        <v>158.95500027874058</v>
      </c>
      <c r="P26">
        <f t="shared" si="6"/>
        <v>156.96801644876666</v>
      </c>
      <c r="Q26">
        <f t="shared" si="7"/>
        <v>160.7912047405585</v>
      </c>
      <c r="R26">
        <f t="shared" si="8"/>
        <v>171.95327144797361</v>
      </c>
      <c r="S26">
        <f t="shared" si="9"/>
        <v>116.32992831601085</v>
      </c>
      <c r="T26">
        <f t="shared" si="10"/>
        <v>125.55299618127349</v>
      </c>
      <c r="U26">
        <f t="shared" si="11"/>
        <v>146.40672842418738</v>
      </c>
    </row>
    <row r="27" spans="9:21" x14ac:dyDescent="0.25">
      <c r="I27">
        <v>26</v>
      </c>
      <c r="J27">
        <f t="shared" si="0"/>
        <v>216.63562894040311</v>
      </c>
      <c r="K27">
        <f t="shared" si="1"/>
        <v>205.072659206715</v>
      </c>
      <c r="L27">
        <f t="shared" si="2"/>
        <v>193.83976057408094</v>
      </c>
      <c r="M27">
        <f t="shared" si="3"/>
        <v>181.87743172246536</v>
      </c>
      <c r="N27">
        <f t="shared" si="4"/>
        <v>166.00590418089774</v>
      </c>
      <c r="O27">
        <f t="shared" si="5"/>
        <v>163.0715138976698</v>
      </c>
      <c r="P27">
        <f t="shared" si="6"/>
        <v>159.84676878626655</v>
      </c>
      <c r="Q27">
        <f t="shared" si="7"/>
        <v>164.03147703838312</v>
      </c>
      <c r="R27">
        <f t="shared" si="8"/>
        <v>176.84306259842407</v>
      </c>
      <c r="S27">
        <f t="shared" si="9"/>
        <v>119.5444292108416</v>
      </c>
      <c r="T27">
        <f t="shared" si="10"/>
        <v>128.77940248727069</v>
      </c>
      <c r="U27">
        <f t="shared" si="11"/>
        <v>149.98501030396514</v>
      </c>
    </row>
    <row r="28" spans="9:21" x14ac:dyDescent="0.25">
      <c r="I28">
        <v>27</v>
      </c>
      <c r="J28">
        <f t="shared" si="0"/>
        <v>222.59102033541774</v>
      </c>
      <c r="K28">
        <f t="shared" si="1"/>
        <v>209.79032517751622</v>
      </c>
      <c r="L28">
        <f t="shared" si="2"/>
        <v>196.92587388698971</v>
      </c>
      <c r="M28">
        <f t="shared" si="3"/>
        <v>185.00039466421174</v>
      </c>
      <c r="N28">
        <f t="shared" si="4"/>
        <v>169.84172812134429</v>
      </c>
      <c r="O28">
        <f t="shared" si="5"/>
        <v>167.09442822139104</v>
      </c>
      <c r="P28">
        <f t="shared" si="6"/>
        <v>162.59609806733354</v>
      </c>
      <c r="Q28">
        <f t="shared" si="7"/>
        <v>167.16030151931196</v>
      </c>
      <c r="R28">
        <f t="shared" si="8"/>
        <v>181.6121243752068</v>
      </c>
      <c r="S28">
        <f t="shared" si="9"/>
        <v>122.67329979271514</v>
      </c>
      <c r="T28">
        <f t="shared" si="10"/>
        <v>131.90419823109076</v>
      </c>
      <c r="U28">
        <f t="shared" si="11"/>
        <v>153.4644899769967</v>
      </c>
    </row>
    <row r="29" spans="9:21" x14ac:dyDescent="0.25">
      <c r="I29">
        <v>28</v>
      </c>
      <c r="J29">
        <f t="shared" si="0"/>
        <v>228.46605479862416</v>
      </c>
      <c r="K29">
        <f t="shared" si="1"/>
        <v>214.38059000754257</v>
      </c>
      <c r="L29">
        <f t="shared" si="2"/>
        <v>199.8526820692079</v>
      </c>
      <c r="M29">
        <f t="shared" si="3"/>
        <v>188.00009444921483</v>
      </c>
      <c r="N29">
        <f t="shared" si="4"/>
        <v>173.57537047428616</v>
      </c>
      <c r="O29">
        <f t="shared" si="5"/>
        <v>171.02587146539793</v>
      </c>
      <c r="P29">
        <f t="shared" si="6"/>
        <v>165.22182289863213</v>
      </c>
      <c r="Q29">
        <f t="shared" si="7"/>
        <v>170.18151138461607</v>
      </c>
      <c r="R29">
        <f t="shared" si="8"/>
        <v>186.26343759717852</v>
      </c>
      <c r="S29">
        <f t="shared" si="9"/>
        <v>125.71882114685657</v>
      </c>
      <c r="T29">
        <f t="shared" si="10"/>
        <v>134.93058347663361</v>
      </c>
      <c r="U29">
        <f t="shared" si="11"/>
        <v>156.84789553357402</v>
      </c>
    </row>
    <row r="30" spans="9:21" x14ac:dyDescent="0.25">
      <c r="I30">
        <v>29</v>
      </c>
      <c r="J30">
        <f t="shared" si="0"/>
        <v>234.26181659737966</v>
      </c>
      <c r="K30">
        <f t="shared" si="1"/>
        <v>218.84689418002694</v>
      </c>
      <c r="L30">
        <f t="shared" si="2"/>
        <v>202.62840844959325</v>
      </c>
      <c r="M30">
        <f t="shared" si="3"/>
        <v>190.88139626674968</v>
      </c>
      <c r="N30">
        <f t="shared" si="4"/>
        <v>177.20955323035346</v>
      </c>
      <c r="O30">
        <f t="shared" si="5"/>
        <v>174.86792345484983</v>
      </c>
      <c r="P30">
        <f t="shared" si="6"/>
        <v>167.72950029368846</v>
      </c>
      <c r="Q30">
        <f t="shared" si="7"/>
        <v>173.09880799420458</v>
      </c>
      <c r="R30">
        <f t="shared" si="8"/>
        <v>190.79990948651593</v>
      </c>
      <c r="S30">
        <f t="shared" si="9"/>
        <v>128.68321359321254</v>
      </c>
      <c r="T30">
        <f t="shared" si="10"/>
        <v>137.86165750684924</v>
      </c>
      <c r="U30">
        <f t="shared" si="11"/>
        <v>160.13787973696046</v>
      </c>
    </row>
    <row r="31" spans="9:21" x14ac:dyDescent="0.25">
      <c r="I31">
        <v>30</v>
      </c>
      <c r="J31">
        <f t="shared" si="0"/>
        <v>239.97937536886997</v>
      </c>
      <c r="K31">
        <f t="shared" si="1"/>
        <v>223.19258526753597</v>
      </c>
      <c r="L31">
        <f t="shared" si="2"/>
        <v>205.26085186887062</v>
      </c>
      <c r="M31">
        <f t="shared" si="3"/>
        <v>193.64897327736739</v>
      </c>
      <c r="N31">
        <f t="shared" si="4"/>
        <v>180.74692586972546</v>
      </c>
      <c r="O31">
        <f t="shared" si="5"/>
        <v>178.62261672484763</v>
      </c>
      <c r="P31">
        <f t="shared" si="6"/>
        <v>170.12443743360433</v>
      </c>
      <c r="Q31">
        <f t="shared" si="7"/>
        <v>175.91576540125303</v>
      </c>
      <c r="R31">
        <f t="shared" si="8"/>
        <v>195.22437548582457</v>
      </c>
      <c r="S31">
        <f t="shared" si="9"/>
        <v>131.56863830516295</v>
      </c>
      <c r="T31">
        <f t="shared" si="10"/>
        <v>140.70042199767445</v>
      </c>
      <c r="U31">
        <f t="shared" si="11"/>
        <v>163.33702210329332</v>
      </c>
    </row>
    <row r="32" spans="9:21" x14ac:dyDescent="0.25">
      <c r="I32">
        <v>31</v>
      </c>
      <c r="J32">
        <f t="shared" ref="J32:J51" si="12">$B$2*(1-EXP(-$C$2*(I32-($D$2))))</f>
        <v>245.6197863175162</v>
      </c>
      <c r="K32">
        <f t="shared" ref="K32:K51" si="13">$B$12*(1-EXP(-$C$12*(I32-($D$12))))</f>
        <v>227.42092044103359</v>
      </c>
      <c r="L32">
        <f t="shared" ref="L32:L51" si="14">$B$13*(1-EXP(-$C$13*(I32-($D$13))))</f>
        <v>207.75740859170378</v>
      </c>
      <c r="M32">
        <f t="shared" si="3"/>
        <v>196.30731419225745</v>
      </c>
      <c r="N32">
        <f t="shared" ref="N32:N51" si="15">$B$3*(1-EXP(-$C$3*(I32-($D$3))))</f>
        <v>184.19006729371887</v>
      </c>
      <c r="O32">
        <f t="shared" ref="O32:O51" si="16">$B$4*(1-EXP(-$C$4*(I32-($D$4))))</f>
        <v>182.2919375956925</v>
      </c>
      <c r="P32">
        <f t="shared" si="6"/>
        <v>172.411702899033</v>
      </c>
      <c r="Q32">
        <f t="shared" si="7"/>
        <v>178.63583473086589</v>
      </c>
      <c r="R32">
        <f t="shared" si="8"/>
        <v>199.53960103038264</v>
      </c>
      <c r="S32">
        <f t="shared" si="9"/>
        <v>134.37719888511199</v>
      </c>
      <c r="T32">
        <f t="shared" si="10"/>
        <v>143.44978409201138</v>
      </c>
      <c r="U32">
        <f t="shared" si="11"/>
        <v>166.44783092405643</v>
      </c>
    </row>
    <row r="33" spans="9:21" x14ac:dyDescent="0.25">
      <c r="I33">
        <v>32</v>
      </c>
      <c r="J33">
        <f t="shared" si="12"/>
        <v>251.1840904097179</v>
      </c>
      <c r="K33">
        <f t="shared" si="13"/>
        <v>231.53506891118764</v>
      </c>
      <c r="L33">
        <f t="shared" si="14"/>
        <v>210.12509308766707</v>
      </c>
      <c r="M33">
        <f t="shared" si="3"/>
        <v>198.86073055345236</v>
      </c>
      <c r="N33">
        <f t="shared" si="15"/>
        <v>187.54148770492094</v>
      </c>
      <c r="O33">
        <f t="shared" si="16"/>
        <v>185.87782722369548</v>
      </c>
      <c r="P33">
        <f t="shared" si="6"/>
        <v>174.59613739718708</v>
      </c>
      <c r="Q33">
        <f t="shared" si="7"/>
        <v>181.26234840813618</v>
      </c>
      <c r="R33">
        <f t="shared" si="8"/>
        <v>203.74828327662803</v>
      </c>
      <c r="S33">
        <f t="shared" si="9"/>
        <v>137.11094289810751</v>
      </c>
      <c r="T33">
        <f t="shared" si="10"/>
        <v>146.11255937689575</v>
      </c>
      <c r="U33">
        <f t="shared" si="11"/>
        <v>169.4727452327092</v>
      </c>
    </row>
    <row r="34" spans="9:21" x14ac:dyDescent="0.25">
      <c r="I34">
        <v>33</v>
      </c>
      <c r="J34">
        <f t="shared" si="12"/>
        <v>256.67331456596929</v>
      </c>
      <c r="K34">
        <f t="shared" si="13"/>
        <v>235.53811430374813</v>
      </c>
      <c r="L34">
        <f t="shared" si="14"/>
        <v>212.37055773950289</v>
      </c>
      <c r="M34">
        <f t="shared" si="3"/>
        <v>201.31336372668389</v>
      </c>
      <c r="N34">
        <f t="shared" si="15"/>
        <v>190.80363043723855</v>
      </c>
      <c r="O34">
        <f t="shared" si="16"/>
        <v>189.38218262809448</v>
      </c>
      <c r="P34">
        <f t="shared" si="6"/>
        <v>176.68236400658122</v>
      </c>
      <c r="Q34">
        <f t="shared" si="7"/>
        <v>183.79852424078294</v>
      </c>
      <c r="R34">
        <f t="shared" si="8"/>
        <v>207.85305278796883</v>
      </c>
      <c r="S34">
        <f t="shared" si="9"/>
        <v>139.77186336460659</v>
      </c>
      <c r="T34">
        <f t="shared" si="10"/>
        <v>148.69147476690409</v>
      </c>
      <c r="U34">
        <f t="shared" si="11"/>
        <v>172.41413671701372</v>
      </c>
    </row>
    <row r="35" spans="9:21" x14ac:dyDescent="0.25">
      <c r="I35">
        <v>34</v>
      </c>
      <c r="J35">
        <f t="shared" si="12"/>
        <v>262.08847185038195</v>
      </c>
      <c r="K35">
        <f t="shared" si="13"/>
        <v>239.43305697077821</v>
      </c>
      <c r="L35">
        <f t="shared" si="14"/>
        <v>214.50011153403952</v>
      </c>
      <c r="M35">
        <f t="shared" si="3"/>
        <v>203.66919161823105</v>
      </c>
      <c r="N35">
        <f t="shared" si="15"/>
        <v>193.97887373719686</v>
      </c>
      <c r="O35">
        <f t="shared" si="16"/>
        <v>192.80685769462178</v>
      </c>
      <c r="P35">
        <f t="shared" si="6"/>
        <v>178.67479796119147</v>
      </c>
      <c r="Q35">
        <f t="shared" si="7"/>
        <v>186.24746936136816</v>
      </c>
      <c r="R35">
        <f t="shared" si="8"/>
        <v>211.85647517897115</v>
      </c>
      <c r="S35">
        <f t="shared" si="9"/>
        <v>142.36190021347559</v>
      </c>
      <c r="T35">
        <f t="shared" si="10"/>
        <v>151.18917129675245</v>
      </c>
      <c r="U35">
        <f t="shared" si="11"/>
        <v>175.27431157855975</v>
      </c>
    </row>
    <row r="36" spans="9:21" x14ac:dyDescent="0.25">
      <c r="I36">
        <v>35</v>
      </c>
      <c r="J36">
        <f t="shared" si="12"/>
        <v>267.43056165765125</v>
      </c>
      <c r="K36">
        <f t="shared" si="13"/>
        <v>243.22281623947032</v>
      </c>
      <c r="L36">
        <f t="shared" si="14"/>
        <v>216.51973778828386</v>
      </c>
      <c r="M36">
        <f t="shared" si="3"/>
        <v>205.93203512665468</v>
      </c>
      <c r="N36">
        <f t="shared" si="15"/>
        <v>197.0695324977861</v>
      </c>
      <c r="O36">
        <f t="shared" si="16"/>
        <v>196.15366415625269</v>
      </c>
      <c r="P36">
        <f t="shared" si="6"/>
        <v>180.57765599473788</v>
      </c>
      <c r="Q36">
        <f t="shared" si="7"/>
        <v>188.6121840339228</v>
      </c>
      <c r="R36">
        <f t="shared" si="8"/>
        <v>215.76105271895187</v>
      </c>
      <c r="S36">
        <f t="shared" si="9"/>
        <v>144.88294169628455</v>
      </c>
      <c r="T36">
        <f t="shared" si="10"/>
        <v>153.60820682594701</v>
      </c>
      <c r="U36">
        <f t="shared" si="11"/>
        <v>178.05551234094443</v>
      </c>
    </row>
    <row r="37" spans="9:21" x14ac:dyDescent="0.25">
      <c r="I37">
        <v>36</v>
      </c>
      <c r="J37">
        <f t="shared" si="12"/>
        <v>272.70056989749997</v>
      </c>
      <c r="K37">
        <f t="shared" si="13"/>
        <v>246.91023260023266</v>
      </c>
      <c r="L37">
        <f t="shared" si="14"/>
        <v>218.43511096049369</v>
      </c>
      <c r="M37">
        <f t="shared" si="3"/>
        <v>208.10556433988265</v>
      </c>
      <c r="N37">
        <f t="shared" si="15"/>
        <v>200.07785994612135</v>
      </c>
      <c r="O37">
        <f t="shared" si="16"/>
        <v>199.4243725516545</v>
      </c>
      <c r="P37">
        <f t="shared" si="6"/>
        <v>182.39496526486639</v>
      </c>
      <c r="Q37">
        <f t="shared" si="7"/>
        <v>190.89556532964531</v>
      </c>
      <c r="R37">
        <f t="shared" si="8"/>
        <v>219.56922589597832</v>
      </c>
      <c r="S37">
        <f t="shared" si="9"/>
        <v>147.33682576392579</v>
      </c>
      <c r="T37">
        <f t="shared" si="10"/>
        <v>155.95105865825536</v>
      </c>
      <c r="U37">
        <f t="shared" si="11"/>
        <v>180.75991960802608</v>
      </c>
    </row>
    <row r="38" spans="9:21" x14ac:dyDescent="0.25">
      <c r="I38">
        <v>37</v>
      </c>
      <c r="J38">
        <f t="shared" si="12"/>
        <v>277.89946917663246</v>
      </c>
      <c r="K38">
        <f t="shared" si="13"/>
        <v>250.4980698356859</v>
      </c>
      <c r="L38">
        <f t="shared" si="14"/>
        <v>220.25161259346234</v>
      </c>
      <c r="M38">
        <f t="shared" si="3"/>
        <v>210.19330448769628</v>
      </c>
      <c r="N38">
        <f t="shared" si="15"/>
        <v>203.00604928614462</v>
      </c>
      <c r="O38">
        <f t="shared" si="16"/>
        <v>202.62071316184304</v>
      </c>
      <c r="P38">
        <f t="shared" si="6"/>
        <v>184.13057187611733</v>
      </c>
      <c r="Q38">
        <f t="shared" si="7"/>
        <v>193.10041067617618</v>
      </c>
      <c r="R38">
        <f t="shared" si="8"/>
        <v>223.28337494225264</v>
      </c>
      <c r="S38">
        <f t="shared" si="9"/>
        <v>149.72534140656191</v>
      </c>
      <c r="T38">
        <f t="shared" si="10"/>
        <v>158.22012607868228</v>
      </c>
      <c r="U38">
        <f t="shared" si="11"/>
        <v>183.38965377362902</v>
      </c>
    </row>
    <row r="39" spans="9:21" x14ac:dyDescent="0.25">
      <c r="I39">
        <v>38</v>
      </c>
      <c r="J39">
        <f t="shared" si="12"/>
        <v>283.02821897823418</v>
      </c>
      <c r="K39">
        <f t="shared" si="13"/>
        <v>253.98901709216642</v>
      </c>
      <c r="L39">
        <f t="shared" si="14"/>
        <v>221.97434643481122</v>
      </c>
      <c r="M39">
        <f t="shared" si="3"/>
        <v>212.19864165927245</v>
      </c>
      <c r="N39">
        <f t="shared" si="15"/>
        <v>205.85623529756802</v>
      </c>
      <c r="O39">
        <f t="shared" si="16"/>
        <v>205.74437692554125</v>
      </c>
      <c r="P39">
        <f t="shared" si="6"/>
        <v>185.78814901971757</v>
      </c>
      <c r="Q39">
        <f t="shared" si="7"/>
        <v>195.22942128479667</v>
      </c>
      <c r="R39">
        <f t="shared" si="8"/>
        <v>226.90582132183454</v>
      </c>
      <c r="S39">
        <f t="shared" si="9"/>
        <v>152.05022995787846</v>
      </c>
      <c r="T39">
        <f t="shared" si="10"/>
        <v>160.41773281054725</v>
      </c>
      <c r="U39">
        <f t="shared" si="11"/>
        <v>185.94677668404111</v>
      </c>
    </row>
    <row r="40" spans="9:21" x14ac:dyDescent="0.25">
      <c r="I40">
        <v>39</v>
      </c>
      <c r="J40">
        <f t="shared" si="12"/>
        <v>288.08776583904961</v>
      </c>
      <c r="K40">
        <f t="shared" si="13"/>
        <v>257.38569089528823</v>
      </c>
      <c r="L40">
        <f t="shared" si="14"/>
        <v>223.60815277677338</v>
      </c>
      <c r="M40">
        <f t="shared" si="3"/>
        <v>214.12482829505498</v>
      </c>
      <c r="N40">
        <f t="shared" si="15"/>
        <v>208.6304958922224</v>
      </c>
      <c r="O40">
        <f t="shared" si="16"/>
        <v>208.79701633372554</v>
      </c>
      <c r="P40">
        <f t="shared" si="6"/>
        <v>187.37120474742403</v>
      </c>
      <c r="Q40">
        <f t="shared" si="7"/>
        <v>197.28520545975047</v>
      </c>
      <c r="R40">
        <f t="shared" si="8"/>
        <v>230.43882918163192</v>
      </c>
      <c r="S40">
        <f t="shared" si="9"/>
        <v>154.31318636459366</v>
      </c>
      <c r="T40">
        <f t="shared" si="10"/>
        <v>162.54612939518</v>
      </c>
      <c r="U40">
        <f t="shared" si="11"/>
        <v>188.43329325460675</v>
      </c>
    </row>
    <row r="41" spans="9:21" x14ac:dyDescent="0.25">
      <c r="I41">
        <v>40</v>
      </c>
      <c r="J41">
        <f t="shared" si="12"/>
        <v>293.07904352406985</v>
      </c>
      <c r="K41">
        <f t="shared" si="13"/>
        <v>260.6906371110743</v>
      </c>
      <c r="L41">
        <f t="shared" si="14"/>
        <v>225.15762205575709</v>
      </c>
      <c r="M41">
        <f t="shared" si="3"/>
        <v>215.9749884618617</v>
      </c>
      <c r="N41">
        <f t="shared" si="15"/>
        <v>211.33085362894727</v>
      </c>
      <c r="O41">
        <f t="shared" si="16"/>
        <v>211.78024630383192</v>
      </c>
      <c r="P41">
        <f t="shared" si="6"/>
        <v>188.88308939587003</v>
      </c>
      <c r="Q41">
        <f t="shared" si="7"/>
        <v>199.27028179374244</v>
      </c>
      <c r="R41">
        <f t="shared" si="8"/>
        <v>233.88460676656635</v>
      </c>
      <c r="S41">
        <f t="shared" si="9"/>
        <v>156.51586042214944</v>
      </c>
      <c r="T41">
        <f t="shared" si="10"/>
        <v>164.60749549667173</v>
      </c>
      <c r="U41">
        <f t="shared" si="11"/>
        <v>190.85115304168335</v>
      </c>
    </row>
    <row r="42" spans="9:21" x14ac:dyDescent="0.25">
      <c r="I42">
        <v>41</v>
      </c>
      <c r="J42">
        <f t="shared" si="12"/>
        <v>298.00297319886414</v>
      </c>
      <c r="K42">
        <f t="shared" si="13"/>
        <v>263.9063328541273</v>
      </c>
      <c r="L42">
        <f t="shared" si="14"/>
        <v>226.6271077499006</v>
      </c>
      <c r="M42">
        <f t="shared" si="3"/>
        <v>217.75212291978386</v>
      </c>
      <c r="N42">
        <f t="shared" si="15"/>
        <v>213.95927718812558</v>
      </c>
      <c r="O42">
        <f t="shared" si="16"/>
        <v>214.69564503408498</v>
      </c>
      <c r="P42">
        <f t="shared" si="6"/>
        <v>190.32700267712795</v>
      </c>
      <c r="Q42">
        <f t="shared" si="7"/>
        <v>201.18708225352975</v>
      </c>
      <c r="R42">
        <f t="shared" si="8"/>
        <v>237.24530779979793</v>
      </c>
      <c r="S42">
        <f t="shared" si="9"/>
        <v>158.65985797748536</v>
      </c>
      <c r="T42">
        <f t="shared" si="10"/>
        <v>166.6039421340414</v>
      </c>
      <c r="U42">
        <f t="shared" si="11"/>
        <v>193.20225177119315</v>
      </c>
    </row>
    <row r="43" spans="9:21" x14ac:dyDescent="0.25">
      <c r="I43">
        <v>42</v>
      </c>
      <c r="J43">
        <f t="shared" si="12"/>
        <v>302.86046359958533</v>
      </c>
      <c r="K43">
        <f t="shared" si="13"/>
        <v>267.03518834427018</v>
      </c>
      <c r="L43">
        <f t="shared" si="14"/>
        <v>228.02073861085501</v>
      </c>
      <c r="M43">
        <f t="shared" si="3"/>
        <v>219.45911398909507</v>
      </c>
      <c r="N43">
        <f t="shared" si="15"/>
        <v>216.51768280693921</v>
      </c>
      <c r="O43">
        <f t="shared" si="16"/>
        <v>217.5447548384015</v>
      </c>
      <c r="P43">
        <f t="shared" si="6"/>
        <v>191.70600045049372</v>
      </c>
      <c r="Q43">
        <f t="shared" si="7"/>
        <v>203.03795515938543</v>
      </c>
      <c r="R43">
        <f t="shared" si="8"/>
        <v>240.52303282887254</v>
      </c>
      <c r="S43">
        <f t="shared" si="9"/>
        <v>160.74674209977229</v>
      </c>
      <c r="T43">
        <f t="shared" si="10"/>
        <v>168.5375138431038</v>
      </c>
      <c r="U43">
        <f t="shared" si="11"/>
        <v>195.48843282496966</v>
      </c>
    </row>
    <row r="44" spans="9:21" x14ac:dyDescent="0.25">
      <c r="I44">
        <v>43</v>
      </c>
      <c r="J44">
        <f t="shared" si="12"/>
        <v>307.65241120068185</v>
      </c>
      <c r="K44">
        <f t="shared" si="13"/>
        <v>270.07954871304781</v>
      </c>
      <c r="L44">
        <f t="shared" si="14"/>
        <v>229.34243026416266</v>
      </c>
      <c r="M44">
        <f t="shared" si="3"/>
        <v>221.09873022506346</v>
      </c>
      <c r="N44">
        <f t="shared" si="15"/>
        <v>219.0079356763905</v>
      </c>
      <c r="O44">
        <f t="shared" si="16"/>
        <v>220.32908296231065</v>
      </c>
      <c r="P44">
        <f t="shared" si="6"/>
        <v>193.02300118982564</v>
      </c>
      <c r="Q44">
        <f t="shared" si="7"/>
        <v>204.82516806208403</v>
      </c>
      <c r="R44">
        <f t="shared" si="8"/>
        <v>243.71983053863232</v>
      </c>
      <c r="S44">
        <f t="shared" si="9"/>
        <v>162.7780342199589</v>
      </c>
      <c r="T44">
        <f t="shared" si="10"/>
        <v>170.41019077025288</v>
      </c>
      <c r="U44">
        <f t="shared" si="11"/>
        <v>197.71148868606335</v>
      </c>
    </row>
    <row r="45" spans="9:21" x14ac:dyDescent="0.25">
      <c r="I45">
        <v>44</v>
      </c>
      <c r="J45">
        <f t="shared" si="12"/>
        <v>312.37970038034666</v>
      </c>
      <c r="K45">
        <f t="shared" si="13"/>
        <v>273.04169576144358</v>
      </c>
      <c r="L45">
        <f t="shared" si="14"/>
        <v>230.59589621082429</v>
      </c>
      <c r="M45">
        <f t="shared" si="3"/>
        <v>222.67363090824983</v>
      </c>
      <c r="N45">
        <f t="shared" si="15"/>
        <v>221.43185130110913</v>
      </c>
      <c r="O45">
        <f t="shared" si="16"/>
        <v>223.05010238032196</v>
      </c>
      <c r="P45">
        <f t="shared" si="6"/>
        <v>194.28079216012381</v>
      </c>
      <c r="Q45">
        <f t="shared" si="7"/>
        <v>206.55091052093519</v>
      </c>
      <c r="R45">
        <f t="shared" si="8"/>
        <v>246.8376990317106</v>
      </c>
      <c r="S45">
        <f t="shared" si="9"/>
        <v>164.75521523996235</v>
      </c>
      <c r="T45">
        <f t="shared" si="10"/>
        <v>172.22389070030457</v>
      </c>
      <c r="U45">
        <f t="shared" si="11"/>
        <v>199.87316234414024</v>
      </c>
    </row>
    <row r="46" spans="9:21" x14ac:dyDescent="0.25">
      <c r="I46">
        <v>45</v>
      </c>
      <c r="J46">
        <f t="shared" si="12"/>
        <v>317.0432035837336</v>
      </c>
      <c r="K46">
        <f t="shared" si="13"/>
        <v>275.92384967012924</v>
      </c>
      <c r="L46">
        <f t="shared" si="14"/>
        <v>231.78465826096541</v>
      </c>
      <c r="M46">
        <f t="shared" si="3"/>
        <v>224.18637035757348</v>
      </c>
      <c r="N46">
        <f t="shared" si="15"/>
        <v>223.79119682293555</v>
      </c>
      <c r="O46">
        <f t="shared" si="16"/>
        <v>225.70925257516296</v>
      </c>
      <c r="P46">
        <f t="shared" si="6"/>
        <v>195.48203531642309</v>
      </c>
      <c r="Q46">
        <f t="shared" si="7"/>
        <v>208.21729678626755</v>
      </c>
      <c r="R46">
        <f t="shared" si="8"/>
        <v>249.8785870774106</v>
      </c>
      <c r="S46">
        <f t="shared" si="9"/>
        <v>166.67972661231127</v>
      </c>
      <c r="T46">
        <f t="shared" si="10"/>
        <v>173.98047102047624</v>
      </c>
      <c r="U46">
        <f t="shared" si="11"/>
        <v>201.97514866207484</v>
      </c>
    </row>
    <row r="47" spans="9:21" x14ac:dyDescent="0.25">
      <c r="I47">
        <v>46</v>
      </c>
      <c r="J47">
        <f t="shared" si="12"/>
        <v>321.64378148397151</v>
      </c>
      <c r="K47">
        <f t="shared" si="13"/>
        <v>278.72817066352832</v>
      </c>
      <c r="L47">
        <f t="shared" si="14"/>
        <v>232.91205642891671</v>
      </c>
      <c r="M47">
        <f t="shared" si="3"/>
        <v>225.63940207314172</v>
      </c>
      <c r="N47">
        <f t="shared" si="15"/>
        <v>226.08769230924531</v>
      </c>
      <c r="O47">
        <f t="shared" si="16"/>
        <v>228.30794029929947</v>
      </c>
      <c r="P47">
        <f t="shared" si="6"/>
        <v>196.62927293748336</v>
      </c>
      <c r="Q47">
        <f t="shared" si="7"/>
        <v>209.8263683896497</v>
      </c>
      <c r="R47">
        <f t="shared" si="8"/>
        <v>252.84439532975034</v>
      </c>
      <c r="S47">
        <f t="shared" si="9"/>
        <v>168.55297139102851</v>
      </c>
      <c r="T47">
        <f t="shared" si="10"/>
        <v>175.68173062251327</v>
      </c>
      <c r="U47">
        <f t="shared" si="11"/>
        <v>204.01909570480987</v>
      </c>
    </row>
    <row r="48" spans="9:21" x14ac:dyDescent="0.25">
      <c r="I48">
        <v>47</v>
      </c>
      <c r="J48">
        <f t="shared" si="12"/>
        <v>326.18228314100605</v>
      </c>
      <c r="K48">
        <f t="shared" si="13"/>
        <v>281.45676062894267</v>
      </c>
      <c r="L48">
        <f t="shared" si="14"/>
        <v>233.98125831751088</v>
      </c>
      <c r="M48">
        <f t="shared" si="3"/>
        <v>227.03508271556251</v>
      </c>
      <c r="N48">
        <f t="shared" si="15"/>
        <v>228.32301200695488</v>
      </c>
      <c r="O48">
        <f t="shared" si="16"/>
        <v>230.84754031914028</v>
      </c>
      <c r="P48">
        <f t="shared" si="6"/>
        <v>197.72493300619973</v>
      </c>
      <c r="Q48">
        <f t="shared" si="7"/>
        <v>211.38009664502175</v>
      </c>
      <c r="R48">
        <f t="shared" si="8"/>
        <v>255.73697751543264</v>
      </c>
      <c r="S48">
        <f t="shared" si="9"/>
        <v>170.37631525451971</v>
      </c>
      <c r="T48">
        <f t="shared" si="10"/>
        <v>177.32941174491157</v>
      </c>
      <c r="U48">
        <f t="shared" si="11"/>
        <v>206.00660603152323</v>
      </c>
    </row>
    <row r="49" spans="9:21" x14ac:dyDescent="0.25">
      <c r="I49">
        <v>48</v>
      </c>
      <c r="J49">
        <f t="shared" si="12"/>
        <v>330.65954615829804</v>
      </c>
      <c r="K49">
        <f t="shared" si="13"/>
        <v>284.11166469195268</v>
      </c>
      <c r="L49">
        <f t="shared" si="14"/>
        <v>234.99526801796193</v>
      </c>
      <c r="M49">
        <f t="shared" si="3"/>
        <v>228.37567592819329</v>
      </c>
      <c r="N49">
        <f t="shared" si="15"/>
        <v>230.49878556312126</v>
      </c>
      <c r="O49">
        <f t="shared" si="16"/>
        <v>233.32939614232058</v>
      </c>
      <c r="P49">
        <f t="shared" si="6"/>
        <v>198.77133434812069</v>
      </c>
      <c r="Q49">
        <f t="shared" si="7"/>
        <v>212.88038506380138</v>
      </c>
      <c r="R49">
        <f t="shared" si="8"/>
        <v>258.5581415924853</v>
      </c>
      <c r="S49">
        <f t="shared" si="9"/>
        <v>172.15108750121328</v>
      </c>
      <c r="T49">
        <f t="shared" si="10"/>
        <v>178.92520175712201</v>
      </c>
      <c r="U49">
        <f t="shared" si="11"/>
        <v>207.93923795211663</v>
      </c>
    </row>
    <row r="50" spans="9:21" x14ac:dyDescent="0.25">
      <c r="I50">
        <v>49</v>
      </c>
      <c r="J50">
        <f t="shared" si="12"/>
        <v>335.076396837407</v>
      </c>
      <c r="K50">
        <f t="shared" si="13"/>
        <v>286.69487274927502</v>
      </c>
      <c r="L50">
        <f t="shared" si="14"/>
        <v>235.95693455033287</v>
      </c>
      <c r="M50">
        <f t="shared" si="3"/>
        <v>229.66335600852636</v>
      </c>
      <c r="N50">
        <f t="shared" si="15"/>
        <v>232.61659921302717</v>
      </c>
      <c r="O50">
        <f t="shared" si="16"/>
        <v>235.75482072844886</v>
      </c>
      <c r="P50">
        <f t="shared" si="6"/>
        <v>199.77069153894783</v>
      </c>
      <c r="Q50">
        <f t="shared" si="7"/>
        <v>214.32907168692353</v>
      </c>
      <c r="R50">
        <f t="shared" si="8"/>
        <v>261.30965088029285</v>
      </c>
      <c r="S50">
        <f t="shared" si="9"/>
        <v>173.87858201867786</v>
      </c>
      <c r="T50">
        <f t="shared" si="10"/>
        <v>180.47073488756399</v>
      </c>
      <c r="U50">
        <f t="shared" si="11"/>
        <v>209.81850674901037</v>
      </c>
    </row>
    <row r="51" spans="9:21" x14ac:dyDescent="0.25">
      <c r="I51">
        <v>50</v>
      </c>
      <c r="J51">
        <f t="shared" si="12"/>
        <v>339.43365033048957</v>
      </c>
      <c r="K51">
        <f t="shared" si="13"/>
        <v>289.20832096022451</v>
      </c>
      <c r="L51">
        <f t="shared" si="14"/>
        <v>236.86895986830663</v>
      </c>
      <c r="M51">
        <f t="shared" si="3"/>
        <v>230.90021143466473</v>
      </c>
      <c r="N51">
        <f t="shared" si="15"/>
        <v>234.67799693661678</v>
      </c>
      <c r="O51">
        <f t="shared" si="16"/>
        <v>238.12509718369344</v>
      </c>
      <c r="P51">
        <f t="shared" si="6"/>
        <v>200.72511959140479</v>
      </c>
      <c r="Q51">
        <f t="shared" si="7"/>
        <v>215.72793133667017</v>
      </c>
      <c r="R51">
        <f t="shared" si="8"/>
        <v>263.99322516172964</v>
      </c>
      <c r="S51">
        <f t="shared" si="9"/>
        <v>175.56005822692373</v>
      </c>
      <c r="T51">
        <f t="shared" si="10"/>
        <v>181.96759389721859</v>
      </c>
      <c r="U51">
        <f t="shared" si="11"/>
        <v>211.64588586520244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10F852E26D9C499877678ECA689220" ma:contentTypeVersion="12" ma:contentTypeDescription="Create a new document." ma:contentTypeScope="" ma:versionID="57a6d2112f320d6279e23a1256fc846f">
  <xsd:schema xmlns:xsd="http://www.w3.org/2001/XMLSchema" xmlns:xs="http://www.w3.org/2001/XMLSchema" xmlns:p="http://schemas.microsoft.com/office/2006/metadata/properties" xmlns:ns3="62a054d2-8d7e-41b1-b590-1d4adff45990" xmlns:ns4="da89c197-1a23-45ec-bc6e-80f723922afc" targetNamespace="http://schemas.microsoft.com/office/2006/metadata/properties" ma:root="true" ma:fieldsID="572a373c8a86a764d41992aeb3dbd76a" ns3:_="" ns4:_="">
    <xsd:import namespace="62a054d2-8d7e-41b1-b590-1d4adff45990"/>
    <xsd:import namespace="da89c197-1a23-45ec-bc6e-80f723922af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a054d2-8d7e-41b1-b590-1d4adff4599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89c197-1a23-45ec-bc6e-80f723922a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A22488-2B19-4487-8D16-E015CB5F419F}">
  <ds:schemaRefs>
    <ds:schemaRef ds:uri="62a054d2-8d7e-41b1-b590-1d4adff45990"/>
    <ds:schemaRef ds:uri="http://purl.org/dc/terms/"/>
    <ds:schemaRef ds:uri="http://schemas.openxmlformats.org/package/2006/metadata/core-properties"/>
    <ds:schemaRef ds:uri="http://purl.org/dc/dcmitype/"/>
    <ds:schemaRef ds:uri="da89c197-1a23-45ec-bc6e-80f723922afc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7F89574-B9B5-49F6-B7E2-839DD226C2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04B588-E888-43E2-A867-EECCEF745E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a054d2-8d7e-41b1-b590-1d4adff45990"/>
    <ds:schemaRef ds:uri="da89c197-1a23-45ec-bc6e-80f723922a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FL</vt:lpstr>
      <vt:lpstr>norm.loc</vt:lpstr>
      <vt:lpstr>bi.norm</vt:lpstr>
      <vt:lpstr>Sheet2</vt:lpstr>
      <vt:lpstr>ALK</vt:lpstr>
      <vt:lpstr>Abundance</vt:lpstr>
      <vt:lpstr>Mortality </vt:lpstr>
      <vt:lpstr>Pop_numbers</vt:lpstr>
      <vt:lpstr>vonBs</vt:lpstr>
      <vt:lpstr>Sheet1</vt:lpstr>
      <vt:lpstr>Abundance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Quuist Grad</dc:creator>
  <cp:lastModifiedBy>DuBois, Jason@Wildlife</cp:lastModifiedBy>
  <cp:lastPrinted>2018-02-02T21:43:22Z</cp:lastPrinted>
  <dcterms:created xsi:type="dcterms:W3CDTF">2018-01-30T23:18:39Z</dcterms:created>
  <dcterms:modified xsi:type="dcterms:W3CDTF">2020-08-04T15:43:24Z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685f86-ed8d-482b-be3a-2b7af73f9b7f_Enabled">
    <vt:lpwstr>True</vt:lpwstr>
  </property>
  <property fmtid="{D5CDD505-2E9C-101B-9397-08002B2CF9AE}" pid="3" name="MSIP_Label_6e685f86-ed8d-482b-be3a-2b7af73f9b7f_SiteId">
    <vt:lpwstr>4b633c25-efbf-4006-9f15-07442ba7aa0b</vt:lpwstr>
  </property>
  <property fmtid="{D5CDD505-2E9C-101B-9397-08002B2CF9AE}" pid="4" name="MSIP_Label_6e685f86-ed8d-482b-be3a-2b7af73f9b7f_Owner">
    <vt:lpwstr>Jason.DuBois@wildlife.ca.gov</vt:lpwstr>
  </property>
  <property fmtid="{D5CDD505-2E9C-101B-9397-08002B2CF9AE}" pid="5" name="MSIP_Label_6e685f86-ed8d-482b-be3a-2b7af73f9b7f_SetDate">
    <vt:lpwstr>2018-08-08T21:04:16.2182448Z</vt:lpwstr>
  </property>
  <property fmtid="{D5CDD505-2E9C-101B-9397-08002B2CF9AE}" pid="6" name="MSIP_Label_6e685f86-ed8d-482b-be3a-2b7af73f9b7f_Name">
    <vt:lpwstr>General</vt:lpwstr>
  </property>
  <property fmtid="{D5CDD505-2E9C-101B-9397-08002B2CF9AE}" pid="7" name="MSIP_Label_6e685f86-ed8d-482b-be3a-2b7af73f9b7f_Application">
    <vt:lpwstr>Microsoft Azure Information Protection</vt:lpwstr>
  </property>
  <property fmtid="{D5CDD505-2E9C-101B-9397-08002B2CF9AE}" pid="8" name="MSIP_Label_6e685f86-ed8d-482b-be3a-2b7af73f9b7f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ContentTypeId">
    <vt:lpwstr>0x010100CD10F852E26D9C499877678ECA689220</vt:lpwstr>
  </property>
</Properties>
</file>