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zvsw\repos\mit-campus-decarbonization\data\iam\"/>
    </mc:Choice>
  </mc:AlternateContent>
  <xr:revisionPtr revIDLastSave="0" documentId="8_{64E65CD9-290D-406A-ADE9-5FA783F1529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w" sheetId="1" r:id="rId1"/>
    <sheet name="Medium" sheetId="5" r:id="rId2"/>
    <sheet name="High" sheetId="6" r:id="rId3"/>
  </sheets>
  <externalReferences>
    <externalReference r:id="rId4"/>
  </externalReferences>
  <definedNames>
    <definedName name="PI_2021">'[1]Price indices'!$P$38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6" l="1"/>
  <c r="M26" i="6" s="1"/>
  <c r="M27" i="6"/>
  <c r="Q26" i="6"/>
  <c r="L27" i="6" s="1"/>
  <c r="M28" i="5"/>
  <c r="L28" i="5"/>
  <c r="K28" i="5"/>
  <c r="J28" i="5"/>
  <c r="I28" i="5"/>
  <c r="M27" i="5"/>
  <c r="L27" i="5"/>
  <c r="K27" i="5"/>
  <c r="J27" i="5"/>
  <c r="I27" i="5"/>
  <c r="M26" i="5"/>
  <c r="L26" i="5"/>
  <c r="K26" i="5"/>
  <c r="J26" i="5"/>
  <c r="I26" i="5"/>
  <c r="M25" i="5"/>
  <c r="L25" i="5"/>
  <c r="K25" i="5"/>
  <c r="J25" i="5"/>
  <c r="I25" i="5"/>
  <c r="Q27" i="5"/>
  <c r="Q26" i="5"/>
  <c r="Q27" i="1"/>
  <c r="Q26" i="1"/>
  <c r="B29" i="1"/>
  <c r="K19" i="1" s="1"/>
  <c r="K20" i="1" s="1"/>
  <c r="B49" i="6"/>
  <c r="B48" i="6"/>
  <c r="B47" i="6"/>
  <c r="J7" i="6"/>
  <c r="L8" i="6"/>
  <c r="K8" i="6"/>
  <c r="J8" i="6"/>
  <c r="M8" i="6"/>
  <c r="M7" i="6"/>
  <c r="L7" i="6"/>
  <c r="K7" i="6"/>
  <c r="L15" i="6"/>
  <c r="M15" i="6"/>
  <c r="L14" i="6"/>
  <c r="M14" i="6"/>
  <c r="K15" i="6"/>
  <c r="K14" i="6"/>
  <c r="J15" i="6"/>
  <c r="J14" i="6"/>
  <c r="J4" i="5"/>
  <c r="E59" i="6"/>
  <c r="D59" i="6"/>
  <c r="C59" i="6"/>
  <c r="B59" i="6"/>
  <c r="L58" i="6"/>
  <c r="K58" i="6"/>
  <c r="J58" i="6"/>
  <c r="I58" i="6"/>
  <c r="H58" i="6"/>
  <c r="G58" i="6"/>
  <c r="F57" i="6"/>
  <c r="L59" i="6" s="1"/>
  <c r="B54" i="6"/>
  <c r="B43" i="6"/>
  <c r="B44" i="6" s="1"/>
  <c r="B41" i="6"/>
  <c r="B45" i="6" s="1"/>
  <c r="B53" i="6" s="1"/>
  <c r="B40" i="6"/>
  <c r="B39" i="6"/>
  <c r="B29" i="6"/>
  <c r="B27" i="6"/>
  <c r="B24" i="6"/>
  <c r="M18" i="6"/>
  <c r="L18" i="6"/>
  <c r="K18" i="6"/>
  <c r="J18" i="6"/>
  <c r="I18" i="6"/>
  <c r="M17" i="6"/>
  <c r="L17" i="6"/>
  <c r="K17" i="6"/>
  <c r="J17" i="6"/>
  <c r="I17" i="6"/>
  <c r="M16" i="6"/>
  <c r="I15" i="6"/>
  <c r="I16" i="6" s="1"/>
  <c r="I14" i="6"/>
  <c r="M11" i="6"/>
  <c r="L11" i="6"/>
  <c r="K11" i="6"/>
  <c r="J11" i="6"/>
  <c r="I11" i="6"/>
  <c r="M10" i="6"/>
  <c r="L10" i="6"/>
  <c r="K10" i="6"/>
  <c r="J10" i="6"/>
  <c r="I10" i="6"/>
  <c r="I8" i="6"/>
  <c r="I7" i="6"/>
  <c r="J4" i="6"/>
  <c r="I5" i="6" s="1"/>
  <c r="I6" i="6" s="1"/>
  <c r="B4" i="6"/>
  <c r="B49" i="5"/>
  <c r="M15" i="5"/>
  <c r="M16" i="5" s="1"/>
  <c r="M14" i="5"/>
  <c r="M8" i="5"/>
  <c r="M7" i="5"/>
  <c r="L15" i="5"/>
  <c r="L14" i="5"/>
  <c r="L8" i="5"/>
  <c r="L7" i="5"/>
  <c r="K15" i="5"/>
  <c r="K14" i="5"/>
  <c r="K8" i="5"/>
  <c r="K7" i="5"/>
  <c r="J15" i="5"/>
  <c r="J14" i="5"/>
  <c r="J8" i="5"/>
  <c r="J7" i="5"/>
  <c r="J9" i="5" s="1"/>
  <c r="L59" i="5"/>
  <c r="E59" i="5"/>
  <c r="D59" i="5"/>
  <c r="C59" i="5"/>
  <c r="B59" i="5"/>
  <c r="L58" i="5"/>
  <c r="K58" i="5"/>
  <c r="J58" i="5"/>
  <c r="I58" i="5"/>
  <c r="H58" i="5"/>
  <c r="G58" i="5"/>
  <c r="F57" i="5"/>
  <c r="B54" i="5"/>
  <c r="B52" i="5"/>
  <c r="B44" i="5"/>
  <c r="B43" i="5"/>
  <c r="B41" i="5"/>
  <c r="B45" i="5" s="1"/>
  <c r="B40" i="5"/>
  <c r="B39" i="5"/>
  <c r="B29" i="5"/>
  <c r="B27" i="5"/>
  <c r="B24" i="5"/>
  <c r="M18" i="5" s="1"/>
  <c r="M17" i="5"/>
  <c r="L17" i="5"/>
  <c r="K17" i="5"/>
  <c r="J17" i="5"/>
  <c r="I17" i="5"/>
  <c r="I15" i="5"/>
  <c r="I16" i="5" s="1"/>
  <c r="I14" i="5"/>
  <c r="M10" i="5"/>
  <c r="L10" i="5"/>
  <c r="K10" i="5"/>
  <c r="J10" i="5"/>
  <c r="I10" i="5"/>
  <c r="I8" i="5"/>
  <c r="I7" i="5"/>
  <c r="I9" i="5" s="1"/>
  <c r="K4" i="5"/>
  <c r="B4" i="5"/>
  <c r="M19" i="1"/>
  <c r="J18" i="1"/>
  <c r="K18" i="1"/>
  <c r="L18" i="1"/>
  <c r="M18" i="1"/>
  <c r="M20" i="1" s="1"/>
  <c r="I18" i="1"/>
  <c r="J17" i="1"/>
  <c r="K17" i="1"/>
  <c r="L17" i="1"/>
  <c r="M17" i="1"/>
  <c r="I17" i="1"/>
  <c r="J16" i="1"/>
  <c r="K16" i="1"/>
  <c r="L16" i="1"/>
  <c r="M16" i="1"/>
  <c r="I16" i="1"/>
  <c r="J15" i="1"/>
  <c r="K15" i="1"/>
  <c r="L15" i="1"/>
  <c r="M15" i="1"/>
  <c r="I15" i="1"/>
  <c r="J14" i="1"/>
  <c r="K14" i="1"/>
  <c r="L14" i="1"/>
  <c r="M14" i="1"/>
  <c r="I14" i="1"/>
  <c r="J4" i="1"/>
  <c r="I5" i="1" s="1"/>
  <c r="I28" i="6" l="1"/>
  <c r="J28" i="6"/>
  <c r="K28" i="6"/>
  <c r="I25" i="6"/>
  <c r="L28" i="6"/>
  <c r="J25" i="6"/>
  <c r="M28" i="6"/>
  <c r="K25" i="6"/>
  <c r="L25" i="6"/>
  <c r="M25" i="6"/>
  <c r="I26" i="6"/>
  <c r="J26" i="6"/>
  <c r="K26" i="6"/>
  <c r="L26" i="6"/>
  <c r="I27" i="6"/>
  <c r="J27" i="6"/>
  <c r="K27" i="6"/>
  <c r="I19" i="1"/>
  <c r="L19" i="1"/>
  <c r="L20" i="1" s="1"/>
  <c r="J19" i="1"/>
  <c r="J20" i="1" s="1"/>
  <c r="I20" i="1"/>
  <c r="L16" i="6"/>
  <c r="K16" i="6"/>
  <c r="J16" i="6"/>
  <c r="I9" i="6"/>
  <c r="J9" i="6"/>
  <c r="K9" i="6"/>
  <c r="L9" i="6"/>
  <c r="M9" i="6"/>
  <c r="B52" i="6"/>
  <c r="B28" i="6" s="1"/>
  <c r="K4" i="6"/>
  <c r="B53" i="5"/>
  <c r="B28" i="5" s="1"/>
  <c r="M9" i="5"/>
  <c r="L16" i="5"/>
  <c r="L9" i="5"/>
  <c r="K16" i="5"/>
  <c r="K9" i="5"/>
  <c r="J16" i="5"/>
  <c r="I5" i="5"/>
  <c r="I6" i="5" s="1"/>
  <c r="L4" i="5"/>
  <c r="J5" i="5"/>
  <c r="J6" i="5" s="1"/>
  <c r="K18" i="5"/>
  <c r="I11" i="5"/>
  <c r="J11" i="5"/>
  <c r="K11" i="5"/>
  <c r="L11" i="5"/>
  <c r="M11" i="5"/>
  <c r="I18" i="5"/>
  <c r="J18" i="5"/>
  <c r="L18" i="5"/>
  <c r="K4" i="1"/>
  <c r="L4" i="1" s="1"/>
  <c r="M4" i="1" s="1"/>
  <c r="M12" i="6" l="1"/>
  <c r="M13" i="6" s="1"/>
  <c r="L12" i="6"/>
  <c r="L13" i="6" s="1"/>
  <c r="K12" i="6"/>
  <c r="K13" i="6" s="1"/>
  <c r="J12" i="6"/>
  <c r="J13" i="6" s="1"/>
  <c r="I19" i="6"/>
  <c r="I20" i="6" s="1"/>
  <c r="J19" i="6"/>
  <c r="J20" i="6" s="1"/>
  <c r="I12" i="6"/>
  <c r="I13" i="6" s="1"/>
  <c r="M19" i="6"/>
  <c r="M20" i="6" s="1"/>
  <c r="L19" i="6"/>
  <c r="L20" i="6" s="1"/>
  <c r="K19" i="6"/>
  <c r="K20" i="6" s="1"/>
  <c r="J5" i="6"/>
  <c r="J6" i="6" s="1"/>
  <c r="L4" i="6"/>
  <c r="M4" i="5"/>
  <c r="K5" i="5"/>
  <c r="K6" i="5" s="1"/>
  <c r="M12" i="5"/>
  <c r="M13" i="5" s="1"/>
  <c r="L12" i="5"/>
  <c r="L13" i="5" s="1"/>
  <c r="K12" i="5"/>
  <c r="K13" i="5" s="1"/>
  <c r="J12" i="5"/>
  <c r="J13" i="5" s="1"/>
  <c r="I12" i="5"/>
  <c r="I13" i="5" s="1"/>
  <c r="M19" i="5"/>
  <c r="M20" i="5" s="1"/>
  <c r="L19" i="5"/>
  <c r="L20" i="5" s="1"/>
  <c r="K19" i="5"/>
  <c r="K20" i="5" s="1"/>
  <c r="J19" i="5"/>
  <c r="J20" i="5" s="1"/>
  <c r="I19" i="5"/>
  <c r="I20" i="5" s="1"/>
  <c r="K5" i="6" l="1"/>
  <c r="K6" i="6" s="1"/>
  <c r="M4" i="6"/>
  <c r="N3" i="5"/>
  <c r="M5" i="5" s="1"/>
  <c r="M6" i="5" s="1"/>
  <c r="L5" i="5"/>
  <c r="L6" i="5" s="1"/>
  <c r="L5" i="6" l="1"/>
  <c r="L6" i="6" s="1"/>
  <c r="N3" i="6"/>
  <c r="M5" i="6" s="1"/>
  <c r="M6" i="6" s="1"/>
  <c r="B25" i="1" l="1"/>
  <c r="J8" i="1"/>
  <c r="K8" i="1"/>
  <c r="L8" i="1"/>
  <c r="M8" i="1"/>
  <c r="I8" i="1"/>
  <c r="J7" i="1"/>
  <c r="K7" i="1"/>
  <c r="K9" i="1" s="1"/>
  <c r="L7" i="1"/>
  <c r="M7" i="1"/>
  <c r="M9" i="1" s="1"/>
  <c r="I7" i="1"/>
  <c r="I9" i="1" s="1"/>
  <c r="B20" i="1"/>
  <c r="B49" i="1"/>
  <c r="B48" i="1"/>
  <c r="B47" i="1"/>
  <c r="B54" i="1"/>
  <c r="B43" i="1"/>
  <c r="J9" i="1" l="1"/>
  <c r="L9" i="1"/>
  <c r="B40" i="1"/>
  <c r="B39" i="1"/>
  <c r="B44" i="1"/>
  <c r="B27" i="1"/>
  <c r="B24" i="1"/>
  <c r="J10" i="1"/>
  <c r="K10" i="1"/>
  <c r="L10" i="1"/>
  <c r="M10" i="1"/>
  <c r="I10" i="1"/>
  <c r="B52" i="1" l="1"/>
  <c r="J11" i="1"/>
  <c r="L11" i="1"/>
  <c r="M11" i="1"/>
  <c r="K11" i="1"/>
  <c r="I11" i="1"/>
  <c r="B41" i="1"/>
  <c r="B45" i="1" l="1"/>
  <c r="B53" i="1" s="1"/>
  <c r="B28" i="1" s="1"/>
  <c r="J12" i="1" l="1"/>
  <c r="K12" i="1"/>
  <c r="L12" i="1"/>
  <c r="M12" i="1"/>
  <c r="I12" i="1"/>
  <c r="J13" i="1" l="1"/>
  <c r="K13" i="1"/>
  <c r="L13" i="1"/>
  <c r="M13" i="1"/>
  <c r="I13" i="1"/>
  <c r="G58" i="1"/>
  <c r="H58" i="1"/>
  <c r="I58" i="1"/>
  <c r="J58" i="1"/>
  <c r="K58" i="1"/>
  <c r="L58" i="1"/>
  <c r="C59" i="1"/>
  <c r="D59" i="1"/>
  <c r="E59" i="1"/>
  <c r="F57" i="1"/>
  <c r="B59" i="1"/>
  <c r="I6" i="1"/>
  <c r="B4" i="1"/>
  <c r="I26" i="1" l="1"/>
  <c r="I27" i="1"/>
  <c r="I25" i="1"/>
  <c r="I28" i="1"/>
  <c r="J5" i="1"/>
  <c r="J6" i="1" s="1"/>
  <c r="J27" i="1" l="1"/>
  <c r="J26" i="1"/>
  <c r="J25" i="1"/>
  <c r="J28" i="1"/>
  <c r="K5" i="1"/>
  <c r="K6" i="1" s="1"/>
  <c r="K28" i="1" l="1"/>
  <c r="K27" i="1"/>
  <c r="K26" i="1"/>
  <c r="K25" i="1"/>
  <c r="L5" i="1"/>
  <c r="L6" i="1" s="1"/>
  <c r="L25" i="1" l="1"/>
  <c r="L27" i="1"/>
  <c r="L26" i="1"/>
  <c r="L28" i="1"/>
  <c r="N3" i="1"/>
  <c r="M5" i="1" s="1"/>
  <c r="M6" i="1" s="1"/>
  <c r="L59" i="1"/>
  <c r="M25" i="1" l="1"/>
  <c r="M26" i="1"/>
  <c r="M27" i="1"/>
  <c r="M28" i="1"/>
</calcChain>
</file>

<file path=xl/sharedStrings.xml><?xml version="1.0" encoding="utf-8"?>
<sst xmlns="http://schemas.openxmlformats.org/spreadsheetml/2006/main" count="262" uniqueCount="79">
  <si>
    <t>Assumptions</t>
  </si>
  <si>
    <t>Electrical power [MWe]</t>
  </si>
  <si>
    <t>Thermal power [MWth]</t>
  </si>
  <si>
    <t>Thermal efficiency [%]</t>
  </si>
  <si>
    <t>Power conversion cycle</t>
  </si>
  <si>
    <t>Open-air Brayton Cycle</t>
  </si>
  <si>
    <t>Refueling period [EFPY]</t>
  </si>
  <si>
    <t>Market demand [NB/y]</t>
  </si>
  <si>
    <t>ICC learning rate [%]</t>
  </si>
  <si>
    <t>FOAK installation cost [$/kW]</t>
  </si>
  <si>
    <t>Cumulative production</t>
  </si>
  <si>
    <t>Cumulative capacity [NBs]</t>
  </si>
  <si>
    <t>5y avg installation cost [$/kW]</t>
  </si>
  <si>
    <t>Operator compensation [M$/y]</t>
  </si>
  <si>
    <t>Number of operators needed [FTE/site]</t>
  </si>
  <si>
    <t>Number of guards needed [FTE/site]</t>
  </si>
  <si>
    <t>Guard compensation [M$/y]</t>
  </si>
  <si>
    <t>Personnel learning</t>
  </si>
  <si>
    <t xml:space="preserve">NBs commercially available </t>
  </si>
  <si>
    <t>Personnel cost [M$/y]</t>
  </si>
  <si>
    <t>Refueling and servicing cost [M$/NB]</t>
  </si>
  <si>
    <t>Waste disposal cost [M$/NB]</t>
  </si>
  <si>
    <t>Fixed O&amp;M cost [M$/y]</t>
  </si>
  <si>
    <t>Discount rate [%]</t>
  </si>
  <si>
    <t>Refueling SFF [-]</t>
  </si>
  <si>
    <t>Waste disposal SFF [-]</t>
  </si>
  <si>
    <t>Spent fuel pool time [y]</t>
  </si>
  <si>
    <t>Annualized waste and servicing [M$/y]</t>
  </si>
  <si>
    <t>Installation cost [M$]</t>
  </si>
  <si>
    <t>Fuel parameters &amp; cost</t>
  </si>
  <si>
    <t>Uranium feed enrichment</t>
  </si>
  <si>
    <t>Tail enrichment</t>
  </si>
  <si>
    <t>TRISO fuel enrichment</t>
  </si>
  <si>
    <t>Uranium feed value function [SWU/kg]</t>
  </si>
  <si>
    <t>Uranium tail value function [SWU/kg]</t>
  </si>
  <si>
    <t>TRISO fuel value function [SWU/kg]</t>
  </si>
  <si>
    <t>Uranium feed for TRISO [kg]</t>
  </si>
  <si>
    <t>Uranium tail for TRISO [kg]</t>
  </si>
  <si>
    <t>SWU per unit mass of uranium product TRISO [SWU/kg HM]</t>
  </si>
  <si>
    <t>Yellow cake cost [$/kg HM]</t>
  </si>
  <si>
    <t>Cost of conversion  [$/kg HM]</t>
  </si>
  <si>
    <t>Cost of enrichment cost [$/SWU]</t>
  </si>
  <si>
    <t>Cost of TRISO fabrication  [$/kg HM]</t>
  </si>
  <si>
    <t>TRISO feed and conversion cost [$]</t>
  </si>
  <si>
    <t>TRISO enrichment cost [$]</t>
  </si>
  <si>
    <t>TRISO fabrication cost [$]</t>
  </si>
  <si>
    <t>Core fuel loading [kg/NB]</t>
  </si>
  <si>
    <t>Fuel cost [M$/NB]</t>
  </si>
  <si>
    <t>Fuel CRF [-]</t>
  </si>
  <si>
    <t>Annualized fuel cost [M$/y]</t>
  </si>
  <si>
    <t>Total operational cost [M$/y]</t>
  </si>
  <si>
    <t>High end of RA</t>
  </si>
  <si>
    <t>RA + 30%</t>
  </si>
  <si>
    <t>NEI scenario</t>
  </si>
  <si>
    <t>RA</t>
  </si>
  <si>
    <t>High end of RA + 30%</t>
  </si>
  <si>
    <t>Number of on-site operators [FTE]</t>
  </si>
  <si>
    <t>Number of on-site gurads [FTE]</t>
  </si>
  <si>
    <t>High end of RA x2</t>
  </si>
  <si>
    <t>Low end of RA</t>
  </si>
  <si>
    <t>Mode of RA</t>
  </si>
  <si>
    <t>RA - 20 %</t>
  </si>
  <si>
    <t>Capacity factor [%]</t>
  </si>
  <si>
    <t>Total operational cost N+1 [M$/y]</t>
  </si>
  <si>
    <t>Number of additional operators [FTE]</t>
  </si>
  <si>
    <t>Number of additional gurads [FTE]</t>
  </si>
  <si>
    <t>Additional operators needed [FTE/NB]</t>
  </si>
  <si>
    <t>Additional guards needed [FTEs/NB]</t>
  </si>
  <si>
    <t xml:space="preserve"> </t>
  </si>
  <si>
    <t>eVinci</t>
  </si>
  <si>
    <t>Low point RA</t>
  </si>
  <si>
    <t>Lifetime [y]</t>
  </si>
  <si>
    <t>Installation cost CRF [-]</t>
  </si>
  <si>
    <t>Single unit</t>
  </si>
  <si>
    <t>Two units</t>
  </si>
  <si>
    <t>Three units</t>
  </si>
  <si>
    <t>Four units</t>
  </si>
  <si>
    <t>Total power [MWh/y]</t>
  </si>
  <si>
    <t>LCOE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</si>
</sst>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0" fontId="2" fillId="0" borderId="0" xfId="0" applyFont="1"/>
    <xf numFmtId="0" fontId="0" fillId="2" borderId="0" xfId="0" applyFill="1"/>
    <xf numFmtId="164" fontId="0" fillId="3" borderId="0" xfId="0" applyNumberFormat="1" applyFill="1"/>
    <xf numFmtId="1" fontId="0" fillId="3" borderId="0" xfId="0" applyNumberFormat="1" applyFill="1"/>
    <xf numFmtId="1" fontId="0" fillId="2" borderId="0" xfId="0" applyNumberFormat="1" applyFill="1"/>
    <xf numFmtId="167" fontId="0" fillId="3" borderId="0" xfId="0" applyNumberFormat="1" applyFill="1"/>
    <xf numFmtId="0" fontId="0" fillId="0" borderId="0" xfId="0" applyFont="1"/>
    <xf numFmtId="0" fontId="0" fillId="0" borderId="0" xfId="0" applyFill="1"/>
    <xf numFmtId="1" fontId="0" fillId="0" borderId="0" xfId="0" applyNumberFormat="1" applyFill="1"/>
    <xf numFmtId="165" fontId="0" fillId="2" borderId="0" xfId="0" applyNumberFormat="1" applyFill="1"/>
    <xf numFmtId="166" fontId="0" fillId="3" borderId="0" xfId="0" applyNumberFormat="1" applyFill="1"/>
    <xf numFmtId="0" fontId="0" fillId="2" borderId="0" xfId="0" applyFill="1" applyBorder="1"/>
    <xf numFmtId="164" fontId="0" fillId="2" borderId="0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" fontId="0" fillId="4" borderId="1" xfId="0" applyNumberFormat="1" applyFill="1" applyBorder="1"/>
    <xf numFmtId="0" fontId="1" fillId="5" borderId="1" xfId="0" applyFont="1" applyFill="1" applyBorder="1"/>
    <xf numFmtId="1" fontId="1" fillId="5" borderId="1" xfId="0" applyNumberFormat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4" borderId="0" xfId="0" applyFill="1" applyBorder="1"/>
    <xf numFmtId="164" fontId="0" fillId="4" borderId="0" xfId="0" applyNumberFormat="1" applyFill="1" applyBorder="1"/>
    <xf numFmtId="164" fontId="0" fillId="2" borderId="0" xfId="0" applyNumberFormat="1" applyFill="1"/>
    <xf numFmtId="0" fontId="6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2" xfId="0" applyFont="1" applyBorder="1"/>
    <xf numFmtId="0" fontId="3" fillId="4" borderId="3" xfId="0" applyFont="1" applyFill="1" applyBorder="1"/>
    <xf numFmtId="0" fontId="3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7" xfId="0" applyFont="1" applyFill="1" applyBorder="1"/>
    <xf numFmtId="1" fontId="1" fillId="5" borderId="8" xfId="0" applyNumberFormat="1" applyFont="1" applyFill="1" applyBorder="1"/>
    <xf numFmtId="0" fontId="0" fillId="4" borderId="7" xfId="0" applyFill="1" applyBorder="1"/>
    <xf numFmtId="1" fontId="0" fillId="4" borderId="8" xfId="0" applyNumberFormat="1" applyFill="1" applyBorder="1"/>
    <xf numFmtId="164" fontId="0" fillId="4" borderId="6" xfId="0" applyNumberFormat="1" applyFill="1" applyBorder="1"/>
    <xf numFmtId="164" fontId="0" fillId="4" borderId="8" xfId="0" applyNumberFormat="1" applyFill="1" applyBorder="1"/>
    <xf numFmtId="0" fontId="1" fillId="5" borderId="9" xfId="0" applyFont="1" applyFill="1" applyBorder="1"/>
    <xf numFmtId="0" fontId="1" fillId="5" borderId="10" xfId="0" applyFont="1" applyFill="1" applyBorder="1"/>
    <xf numFmtId="1" fontId="1" fillId="5" borderId="10" xfId="0" applyNumberFormat="1" applyFont="1" applyFill="1" applyBorder="1"/>
    <xf numFmtId="1" fontId="1" fillId="5" borderId="11" xfId="0" applyNumberFormat="1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164" fontId="1" fillId="5" borderId="1" xfId="0" applyNumberFormat="1" applyFont="1" applyFill="1" applyBorder="1"/>
    <xf numFmtId="0" fontId="0" fillId="3" borderId="0" xfId="0" applyFill="1"/>
    <xf numFmtId="0" fontId="0" fillId="4" borderId="2" xfId="0" applyFill="1" applyBorder="1"/>
    <xf numFmtId="1" fontId="0" fillId="4" borderId="0" xfId="0" applyNumberFormat="1" applyFill="1" applyBorder="1"/>
    <xf numFmtId="1" fontId="0" fillId="4" borderId="6" xfId="0" applyNumberFormat="1" applyFill="1" applyBorder="1"/>
    <xf numFmtId="0" fontId="0" fillId="4" borderId="9" xfId="0" applyFill="1" applyBorder="1"/>
    <xf numFmtId="0" fontId="0" fillId="4" borderId="10" xfId="0" applyFill="1" applyBorder="1"/>
    <xf numFmtId="1" fontId="0" fillId="4" borderId="10" xfId="0" applyNumberFormat="1" applyFill="1" applyBorder="1"/>
    <xf numFmtId="1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114300</xdr:rowOff>
    </xdr:from>
    <xdr:to>
      <xdr:col>6</xdr:col>
      <xdr:colOff>753044</xdr:colOff>
      <xdr:row>65</xdr:row>
      <xdr:rowOff>152482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E7D574-5974-4156-95E9-2C96A3B73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65380"/>
          <a:ext cx="6565199" cy="948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114300</xdr:rowOff>
    </xdr:from>
    <xdr:to>
      <xdr:col>6</xdr:col>
      <xdr:colOff>753044</xdr:colOff>
      <xdr:row>65</xdr:row>
      <xdr:rowOff>152482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ED2FA7-6672-4D66-88CA-EAE5492C4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01375"/>
          <a:ext cx="6553769" cy="9430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114300</xdr:rowOff>
    </xdr:from>
    <xdr:to>
      <xdr:col>6</xdr:col>
      <xdr:colOff>753044</xdr:colOff>
      <xdr:row>65</xdr:row>
      <xdr:rowOff>152482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482355-125B-4A00-9DB5-EFDBE1EE4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01375"/>
          <a:ext cx="6551864" cy="9430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tprod-my.sharepoint.com/personal/emile85_mit_edu/Documents/Documents/RA%20Nuclear%20Batteries/Python%20Scripts%20and%20Spreadsheets/Full%20model%20v2.0/ATG%20Centralized%20cost%20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Requirements"/>
      <sheetName val="Grid+PEM"/>
      <sheetName val="NB+PEM"/>
      <sheetName val="NB+PEM TRISO"/>
      <sheetName val="NB+SOEC"/>
      <sheetName val="Waste parameters"/>
      <sheetName val="Central facility cost estimate"/>
      <sheetName val="Fuel parameters"/>
      <sheetName val="SOEC parameters"/>
      <sheetName val="Price ind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8">
          <cell r="P38">
            <v>1.0673871903780647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zoomScaleNormal="100" workbookViewId="0">
      <selection activeCell="B10" sqref="B10"/>
    </sheetView>
  </sheetViews>
  <sheetFormatPr defaultRowHeight="14.4" x14ac:dyDescent="0.3"/>
  <cols>
    <col min="1" max="1" width="31.77734375" bestFit="1" customWidth="1"/>
    <col min="2" max="2" width="13.109375" bestFit="1" customWidth="1"/>
    <col min="7" max="7" width="33.109375" bestFit="1" customWidth="1"/>
    <col min="9" max="9" width="11.5546875" bestFit="1" customWidth="1"/>
    <col min="16" max="16" width="26.44140625" customWidth="1"/>
  </cols>
  <sheetData>
    <row r="1" spans="1:16" s="24" customFormat="1" ht="15.6" x14ac:dyDescent="0.3">
      <c r="A1" s="23" t="s">
        <v>0</v>
      </c>
      <c r="G1" s="33"/>
      <c r="H1" s="34">
        <v>2023</v>
      </c>
      <c r="I1" s="34">
        <v>2030</v>
      </c>
      <c r="J1" s="34">
        <v>2035</v>
      </c>
      <c r="K1" s="34">
        <v>2040</v>
      </c>
      <c r="L1" s="34">
        <v>2045</v>
      </c>
      <c r="M1" s="35">
        <v>2050</v>
      </c>
      <c r="N1" s="25">
        <v>2055</v>
      </c>
    </row>
    <row r="2" spans="1:16" x14ac:dyDescent="0.3">
      <c r="A2" s="3" t="s">
        <v>1</v>
      </c>
      <c r="B2" s="16">
        <v>5</v>
      </c>
      <c r="C2" t="s">
        <v>54</v>
      </c>
      <c r="G2" s="48" t="s">
        <v>18</v>
      </c>
      <c r="H2" s="49" t="b">
        <v>0</v>
      </c>
      <c r="I2" s="49" t="b">
        <v>1</v>
      </c>
      <c r="J2" s="49" t="b">
        <v>1</v>
      </c>
      <c r="K2" s="49" t="b">
        <v>1</v>
      </c>
      <c r="L2" s="49" t="b">
        <v>1</v>
      </c>
      <c r="M2" s="50" t="b">
        <v>1</v>
      </c>
      <c r="N2" s="5" t="b">
        <v>1</v>
      </c>
      <c r="P2" s="32"/>
    </row>
    <row r="3" spans="1:16" x14ac:dyDescent="0.3">
      <c r="A3" s="3" t="s">
        <v>2</v>
      </c>
      <c r="B3" s="16">
        <v>13</v>
      </c>
      <c r="C3" t="s">
        <v>54</v>
      </c>
      <c r="G3" s="38" t="s">
        <v>62</v>
      </c>
      <c r="H3" s="21"/>
      <c r="I3" s="22">
        <v>55</v>
      </c>
      <c r="J3" s="22">
        <v>65</v>
      </c>
      <c r="K3" s="22">
        <v>75</v>
      </c>
      <c r="L3" s="22">
        <v>80</v>
      </c>
      <c r="M3" s="39">
        <v>85</v>
      </c>
      <c r="N3" s="5">
        <f>M4+$B$8*5</f>
        <v>76</v>
      </c>
      <c r="P3" s="32"/>
    </row>
    <row r="4" spans="1:16" x14ac:dyDescent="0.3">
      <c r="A4" s="3" t="s">
        <v>3</v>
      </c>
      <c r="B4" s="17">
        <f>B2/B3*100</f>
        <v>38.461538461538467</v>
      </c>
      <c r="C4" t="s">
        <v>54</v>
      </c>
      <c r="G4" s="36" t="s">
        <v>11</v>
      </c>
      <c r="H4" s="26"/>
      <c r="I4" s="26">
        <v>1</v>
      </c>
      <c r="J4" s="26">
        <f>ROUND(I4+$B$8*5*0.25, 0)</f>
        <v>7</v>
      </c>
      <c r="K4" s="26">
        <f>ROUND(J4+$B$8*5*0.5, 0)</f>
        <v>20</v>
      </c>
      <c r="L4" s="26">
        <f>ROUND(K4+$B$8*5, 0)</f>
        <v>45</v>
      </c>
      <c r="M4" s="37">
        <f t="shared" ref="M4" si="0">ROUND(L4+$B$8*5*0.25, 0)</f>
        <v>51</v>
      </c>
      <c r="P4" s="32"/>
    </row>
    <row r="5" spans="1:16" x14ac:dyDescent="0.3">
      <c r="A5" s="3" t="s">
        <v>4</v>
      </c>
      <c r="B5" s="16" t="s">
        <v>5</v>
      </c>
      <c r="C5" t="s">
        <v>54</v>
      </c>
      <c r="G5" s="40" t="s">
        <v>12</v>
      </c>
      <c r="H5" s="18"/>
      <c r="I5" s="20">
        <f>$B$10*LN(2)*((J4-1)*EXP(LN(J4-1)*LN(1-$B$9/100)/LN(2)) - I4*EXP(LN(I4)*LN(1-$B$9/100)/LN(2)))/(LN(1-$B$9/100)+LN(2))/(J4-I4-1)</f>
        <v>27569.810673620039</v>
      </c>
      <c r="J5" s="20">
        <f>$B$10*LN(2)*((K4-1)*EXP(LN(K4-1)*LN(1-$B$9/100)/LN(2)) - J4*EXP(LN(J4)*LN(1-$B$9/100)/LN(2)))/(LN(1-$B$9/100)+LN(2))/(K4-J4-1)</f>
        <v>24888.886225892988</v>
      </c>
      <c r="K5" s="20">
        <f>$B$10*LN(2)*((L4-1)*EXP(LN(L4-1)*LN(1-$B$9/100)/LN(2)) - K4*EXP(LN(K4)*LN(1-$B$9/100)/LN(2)))/(LN(1-$B$9/100)+LN(2))/(L4-K4-1)</f>
        <v>23258.753532133273</v>
      </c>
      <c r="L5" s="20">
        <f>$B$10*LN(2)*((M4-1)*EXP(LN(M4-1)*LN(1-$B$9/100)/LN(2)) - L4*EXP(LN(L4)*LN(1-$B$9/100)/LN(2)))/(LN(1-$B$9/100)+LN(2))/(M4-L4-1)</f>
        <v>22545.553508515983</v>
      </c>
      <c r="M5" s="41">
        <f>$B$10*LN(2)*((N3-1)*EXP(LN(N3-1)*LN(1-$B$9/100)/LN(2)) - M4*EXP(LN(M4)*LN(1-$B$9/100)/LN(2)))/(LN(1-$B$9/100)+LN(2))/(N3-M4-1)</f>
        <v>22089.207236947532</v>
      </c>
      <c r="P5" s="32"/>
    </row>
    <row r="6" spans="1:16" x14ac:dyDescent="0.3">
      <c r="A6" s="2" t="s">
        <v>6</v>
      </c>
      <c r="B6" s="16">
        <v>8</v>
      </c>
      <c r="C6" t="s">
        <v>54</v>
      </c>
      <c r="G6" s="38" t="s">
        <v>28</v>
      </c>
      <c r="H6" s="21"/>
      <c r="I6" s="22">
        <f>I5*5/1000</f>
        <v>137.84905336810019</v>
      </c>
      <c r="J6" s="22">
        <f t="shared" ref="J6:M6" si="1">J5*5/1000</f>
        <v>124.44443112946493</v>
      </c>
      <c r="K6" s="22">
        <f t="shared" si="1"/>
        <v>116.29376766066636</v>
      </c>
      <c r="L6" s="22">
        <f t="shared" si="1"/>
        <v>112.72776754257991</v>
      </c>
      <c r="M6" s="39">
        <f t="shared" si="1"/>
        <v>110.44603618473766</v>
      </c>
    </row>
    <row r="7" spans="1:16" x14ac:dyDescent="0.3">
      <c r="A7" s="3"/>
      <c r="B7" s="3"/>
      <c r="G7" s="36" t="s">
        <v>56</v>
      </c>
      <c r="H7" s="26"/>
      <c r="I7" s="26">
        <f>$B13</f>
        <v>20</v>
      </c>
      <c r="J7" s="26">
        <f>$B13</f>
        <v>20</v>
      </c>
      <c r="K7" s="26">
        <f>$B13</f>
        <v>20</v>
      </c>
      <c r="L7" s="26">
        <f>$B13</f>
        <v>20</v>
      </c>
      <c r="M7" s="37">
        <f>$B13</f>
        <v>20</v>
      </c>
    </row>
    <row r="8" spans="1:16" x14ac:dyDescent="0.3">
      <c r="A8" t="s">
        <v>7</v>
      </c>
      <c r="B8" s="29">
        <v>5</v>
      </c>
      <c r="G8" s="36" t="s">
        <v>57</v>
      </c>
      <c r="H8" s="26"/>
      <c r="I8" s="26">
        <f>$B16</f>
        <v>20</v>
      </c>
      <c r="J8" s="26">
        <f>$B16</f>
        <v>20</v>
      </c>
      <c r="K8" s="26">
        <f>$B16</f>
        <v>20</v>
      </c>
      <c r="L8" s="26">
        <f>$B16</f>
        <v>20</v>
      </c>
      <c r="M8" s="37">
        <f>$B16</f>
        <v>20</v>
      </c>
    </row>
    <row r="9" spans="1:16" x14ac:dyDescent="0.3">
      <c r="A9" t="s">
        <v>8</v>
      </c>
      <c r="B9" s="29">
        <v>5</v>
      </c>
      <c r="C9" t="s">
        <v>53</v>
      </c>
      <c r="G9" s="36" t="s">
        <v>19</v>
      </c>
      <c r="H9" s="26"/>
      <c r="I9" s="26">
        <f>I$8*$B18+I$7*$B15</f>
        <v>10</v>
      </c>
      <c r="J9" s="26">
        <f>J$8*$B18+J$7*$B15</f>
        <v>10</v>
      </c>
      <c r="K9" s="26">
        <f>K$8*$B18+K$7*$B15</f>
        <v>10</v>
      </c>
      <c r="L9" s="26">
        <f>L$8*$B18+L$7*$B15</f>
        <v>10</v>
      </c>
      <c r="M9" s="37">
        <f>M$8*$B18+M$7*$B15</f>
        <v>10</v>
      </c>
    </row>
    <row r="10" spans="1:16" x14ac:dyDescent="0.3">
      <c r="A10" t="s">
        <v>9</v>
      </c>
      <c r="B10" s="29">
        <v>30000</v>
      </c>
      <c r="C10" t="s">
        <v>53</v>
      </c>
      <c r="G10" s="36" t="s">
        <v>22</v>
      </c>
      <c r="H10" s="26"/>
      <c r="I10" s="26">
        <f>$B20</f>
        <v>0.71500000000000008</v>
      </c>
      <c r="J10" s="26">
        <f>$B20</f>
        <v>0.71500000000000008</v>
      </c>
      <c r="K10" s="26">
        <f>$B20</f>
        <v>0.71500000000000008</v>
      </c>
      <c r="L10" s="26">
        <f>$B20</f>
        <v>0.71500000000000008</v>
      </c>
      <c r="M10" s="37">
        <f>$B20</f>
        <v>0.71500000000000008</v>
      </c>
    </row>
    <row r="11" spans="1:16" x14ac:dyDescent="0.3">
      <c r="G11" s="36" t="s">
        <v>27</v>
      </c>
      <c r="H11" s="26" t="s">
        <v>68</v>
      </c>
      <c r="I11" s="27">
        <f>$B23*$B24+$B25*$B27</f>
        <v>0.58067964713768538</v>
      </c>
      <c r="J11" s="27">
        <f>$B23*$B24+$B25*$B27</f>
        <v>0.58067964713768538</v>
      </c>
      <c r="K11" s="27">
        <f>$B23*$B24+$B25*$B27</f>
        <v>0.58067964713768538</v>
      </c>
      <c r="L11" s="27">
        <f>$B23*$B24+$B25*$B27</f>
        <v>0.58067964713768538</v>
      </c>
      <c r="M11" s="42">
        <f>$B23*$B24+$B25*$B27</f>
        <v>0.58067964713768538</v>
      </c>
    </row>
    <row r="12" spans="1:16" x14ac:dyDescent="0.3">
      <c r="A12" t="s">
        <v>17</v>
      </c>
      <c r="B12" s="6" t="b">
        <v>0</v>
      </c>
      <c r="G12" s="40" t="s">
        <v>49</v>
      </c>
      <c r="H12" s="18"/>
      <c r="I12" s="19">
        <f>$B28*$B29</f>
        <v>5.0573438826911072</v>
      </c>
      <c r="J12" s="19">
        <f>$B28*$B29</f>
        <v>5.0573438826911072</v>
      </c>
      <c r="K12" s="19">
        <f>$B28*$B29</f>
        <v>5.0573438826911072</v>
      </c>
      <c r="L12" s="19">
        <f>$B28*$B29</f>
        <v>5.0573438826911072</v>
      </c>
      <c r="M12" s="43">
        <f>$B28*$B29</f>
        <v>5.0573438826911072</v>
      </c>
    </row>
    <row r="13" spans="1:16" x14ac:dyDescent="0.3">
      <c r="A13" t="s">
        <v>14</v>
      </c>
      <c r="B13" s="29">
        <v>20</v>
      </c>
      <c r="G13" s="38" t="s">
        <v>50</v>
      </c>
      <c r="H13" s="21"/>
      <c r="I13" s="22">
        <f>SUM(I9:I12)</f>
        <v>16.353023529828793</v>
      </c>
      <c r="J13" s="22">
        <f t="shared" ref="J13:M13" si="2">SUM(J9:J12)</f>
        <v>16.353023529828793</v>
      </c>
      <c r="K13" s="22">
        <f t="shared" si="2"/>
        <v>16.353023529828793</v>
      </c>
      <c r="L13" s="22">
        <f t="shared" si="2"/>
        <v>16.353023529828793</v>
      </c>
      <c r="M13" s="39">
        <f t="shared" si="2"/>
        <v>16.353023529828793</v>
      </c>
    </row>
    <row r="14" spans="1:16" x14ac:dyDescent="0.3">
      <c r="A14" t="s">
        <v>66</v>
      </c>
      <c r="B14" s="29">
        <v>5</v>
      </c>
      <c r="G14" s="36" t="s">
        <v>64</v>
      </c>
      <c r="H14" s="26"/>
      <c r="I14" s="26">
        <f>$B14</f>
        <v>5</v>
      </c>
      <c r="J14" s="26">
        <f t="shared" ref="J14:M14" si="3">$B14</f>
        <v>5</v>
      </c>
      <c r="K14" s="26">
        <f t="shared" si="3"/>
        <v>5</v>
      </c>
      <c r="L14" s="26">
        <f t="shared" si="3"/>
        <v>5</v>
      </c>
      <c r="M14" s="37">
        <f t="shared" si="3"/>
        <v>5</v>
      </c>
    </row>
    <row r="15" spans="1:16" x14ac:dyDescent="0.3">
      <c r="A15" t="s">
        <v>13</v>
      </c>
      <c r="B15" s="6">
        <v>0.3</v>
      </c>
      <c r="G15" s="36" t="s">
        <v>65</v>
      </c>
      <c r="H15" s="26"/>
      <c r="I15" s="26">
        <f>$B17</f>
        <v>5</v>
      </c>
      <c r="J15" s="26">
        <f t="shared" ref="J15:M15" si="4">$B17</f>
        <v>5</v>
      </c>
      <c r="K15" s="26">
        <f t="shared" si="4"/>
        <v>5</v>
      </c>
      <c r="L15" s="26">
        <f t="shared" si="4"/>
        <v>5</v>
      </c>
      <c r="M15" s="37">
        <f t="shared" si="4"/>
        <v>5</v>
      </c>
    </row>
    <row r="16" spans="1:16" x14ac:dyDescent="0.3">
      <c r="A16" t="s">
        <v>15</v>
      </c>
      <c r="B16" s="29">
        <v>20</v>
      </c>
      <c r="G16" s="36" t="s">
        <v>19</v>
      </c>
      <c r="H16" s="26"/>
      <c r="I16" s="26">
        <f>I$15*$B18+I$14*$B15</f>
        <v>2.5</v>
      </c>
      <c r="J16" s="26">
        <f t="shared" ref="J16:M16" si="5">J$15*$B18+J$14*$B15</f>
        <v>2.5</v>
      </c>
      <c r="K16" s="26">
        <f t="shared" si="5"/>
        <v>2.5</v>
      </c>
      <c r="L16" s="26">
        <f t="shared" si="5"/>
        <v>2.5</v>
      </c>
      <c r="M16" s="37">
        <f t="shared" si="5"/>
        <v>2.5</v>
      </c>
    </row>
    <row r="17" spans="1:17" x14ac:dyDescent="0.3">
      <c r="A17" t="s">
        <v>67</v>
      </c>
      <c r="B17" s="29">
        <v>5</v>
      </c>
      <c r="G17" s="36" t="s">
        <v>22</v>
      </c>
      <c r="H17" s="26"/>
      <c r="I17" s="26">
        <f>$B20</f>
        <v>0.71500000000000008</v>
      </c>
      <c r="J17" s="26">
        <f t="shared" ref="J17:M17" si="6">$B20</f>
        <v>0.71500000000000008</v>
      </c>
      <c r="K17" s="26">
        <f t="shared" si="6"/>
        <v>0.71500000000000008</v>
      </c>
      <c r="L17" s="26">
        <f t="shared" si="6"/>
        <v>0.71500000000000008</v>
      </c>
      <c r="M17" s="37">
        <f t="shared" si="6"/>
        <v>0.71500000000000008</v>
      </c>
    </row>
    <row r="18" spans="1:17" x14ac:dyDescent="0.3">
      <c r="A18" t="s">
        <v>16</v>
      </c>
      <c r="B18" s="6">
        <v>0.2</v>
      </c>
      <c r="G18" s="36" t="s">
        <v>27</v>
      </c>
      <c r="H18" s="26"/>
      <c r="I18" s="27">
        <f>$B23*$B24+$B25*$B27</f>
        <v>0.58067964713768538</v>
      </c>
      <c r="J18" s="27">
        <f t="shared" ref="J18:M18" si="7">$B23*$B24+$B25*$B27</f>
        <v>0.58067964713768538</v>
      </c>
      <c r="K18" s="27">
        <f t="shared" si="7"/>
        <v>0.58067964713768538</v>
      </c>
      <c r="L18" s="27">
        <f t="shared" si="7"/>
        <v>0.58067964713768538</v>
      </c>
      <c r="M18" s="42">
        <f t="shared" si="7"/>
        <v>0.58067964713768538</v>
      </c>
    </row>
    <row r="19" spans="1:17" x14ac:dyDescent="0.3">
      <c r="G19" s="40" t="s">
        <v>49</v>
      </c>
      <c r="H19" s="18"/>
      <c r="I19" s="19">
        <f>$B28*$B29</f>
        <v>5.0573438826911072</v>
      </c>
      <c r="J19" s="19">
        <f t="shared" ref="J19:M19" si="8">$B28*$B29</f>
        <v>5.0573438826911072</v>
      </c>
      <c r="K19" s="19">
        <f t="shared" si="8"/>
        <v>5.0573438826911072</v>
      </c>
      <c r="L19" s="19">
        <f t="shared" si="8"/>
        <v>5.0573438826911072</v>
      </c>
      <c r="M19" s="43">
        <f t="shared" si="8"/>
        <v>5.0573438826911072</v>
      </c>
    </row>
    <row r="20" spans="1:17" ht="15" thickBot="1" x14ac:dyDescent="0.35">
      <c r="A20" t="s">
        <v>22</v>
      </c>
      <c r="B20" s="6">
        <f>0.55*1.3</f>
        <v>0.71500000000000008</v>
      </c>
      <c r="C20" t="s">
        <v>55</v>
      </c>
      <c r="G20" s="44" t="s">
        <v>63</v>
      </c>
      <c r="H20" s="45"/>
      <c r="I20" s="46">
        <f>SUM(I16:I19)</f>
        <v>8.8530235298287927</v>
      </c>
      <c r="J20" s="46">
        <f t="shared" ref="J20:M20" si="9">SUM(J16:J19)</f>
        <v>8.8530235298287927</v>
      </c>
      <c r="K20" s="46">
        <f t="shared" si="9"/>
        <v>8.8530235298287927</v>
      </c>
      <c r="L20" s="46">
        <f t="shared" si="9"/>
        <v>8.8530235298287927</v>
      </c>
      <c r="M20" s="47">
        <f t="shared" si="9"/>
        <v>8.8530235298287927</v>
      </c>
    </row>
    <row r="22" spans="1:17" x14ac:dyDescent="0.3">
      <c r="A22" t="s">
        <v>23</v>
      </c>
      <c r="B22" s="6">
        <v>6</v>
      </c>
    </row>
    <row r="23" spans="1:17" ht="15" thickBot="1" x14ac:dyDescent="0.35">
      <c r="A23" t="s">
        <v>20</v>
      </c>
      <c r="B23" s="29">
        <v>5</v>
      </c>
      <c r="C23" s="31"/>
    </row>
    <row r="24" spans="1:17" ht="15.6" x14ac:dyDescent="0.3">
      <c r="A24" t="s">
        <v>24</v>
      </c>
      <c r="B24" s="15">
        <f>($B22/100)/((1 + $B$22/100)^$B$6 - 1)</f>
        <v>0.10103594264812896</v>
      </c>
      <c r="G24" s="53" t="s">
        <v>78</v>
      </c>
      <c r="H24" s="34">
        <v>2023</v>
      </c>
      <c r="I24" s="34">
        <v>2030</v>
      </c>
      <c r="J24" s="34">
        <v>2035</v>
      </c>
      <c r="K24" s="34">
        <v>2040</v>
      </c>
      <c r="L24" s="34">
        <v>2045</v>
      </c>
      <c r="M24" s="35">
        <v>2050</v>
      </c>
    </row>
    <row r="25" spans="1:17" x14ac:dyDescent="0.3">
      <c r="A25" t="s">
        <v>21</v>
      </c>
      <c r="B25" s="6">
        <f>0.5*2</f>
        <v>1</v>
      </c>
      <c r="C25" t="s">
        <v>58</v>
      </c>
      <c r="G25" s="36" t="s">
        <v>73</v>
      </c>
      <c r="H25" s="26"/>
      <c r="I25" s="54">
        <f>(I$6*$Q$26+I$13)/($Q$27*I$3/100)*1000000</f>
        <v>1176.9162747559767</v>
      </c>
      <c r="J25" s="54">
        <f t="shared" ref="J25:M25" si="10">(J6*$Q$26+J13)/($Q$27*J3/100)*1000000</f>
        <v>954.83094213964762</v>
      </c>
      <c r="K25" s="54">
        <f t="shared" si="10"/>
        <v>805.90293231402779</v>
      </c>
      <c r="L25" s="54">
        <f t="shared" si="10"/>
        <v>746.66735118691849</v>
      </c>
      <c r="M25" s="55">
        <f t="shared" si="10"/>
        <v>697.40608136904473</v>
      </c>
      <c r="P25" t="s">
        <v>71</v>
      </c>
      <c r="Q25" s="6">
        <v>20</v>
      </c>
    </row>
    <row r="26" spans="1:17" x14ac:dyDescent="0.3">
      <c r="A26" t="s">
        <v>26</v>
      </c>
      <c r="B26" s="6">
        <v>5</v>
      </c>
      <c r="G26" s="36" t="s">
        <v>74</v>
      </c>
      <c r="H26" s="26"/>
      <c r="I26" s="54">
        <f>(2*I$6*$Q$26+I$13+I$20)/($Q$27*I$3*2/100)*1000000</f>
        <v>1021.3565709416526</v>
      </c>
      <c r="J26" s="54">
        <f t="shared" ref="J26:M26" si="11">(2*J$6*$Q$26+J$13+J$20)/($Q$27*J$3*2/100)*1000000</f>
        <v>823.20350045060422</v>
      </c>
      <c r="K26" s="54">
        <f t="shared" si="11"/>
        <v>691.82581618352367</v>
      </c>
      <c r="L26" s="54">
        <f t="shared" si="11"/>
        <v>639.72005481457074</v>
      </c>
      <c r="M26" s="55">
        <f t="shared" si="11"/>
        <v>596.74980243036441</v>
      </c>
      <c r="P26" t="s">
        <v>72</v>
      </c>
      <c r="Q26" s="52">
        <f>($B$22/100)*(1 + $B$22/100)^$Q$25/((1 + $B$22/100)^$Q$25 - 1)</f>
        <v>8.7184556976851402E-2</v>
      </c>
    </row>
    <row r="27" spans="1:17" x14ac:dyDescent="0.3">
      <c r="A27" t="s">
        <v>25</v>
      </c>
      <c r="B27" s="15">
        <f>($B22/100)/((1 + $B$22/100)^$B$6 - 1)*(1/(1 + $B$22/100)^B26)</f>
        <v>7.5499933897040558E-2</v>
      </c>
      <c r="G27" s="36" t="s">
        <v>75</v>
      </c>
      <c r="H27" s="26"/>
      <c r="I27" s="54">
        <f>(3*I$6*$Q$26+I$13+2*I$20)/($Q$27*I$3*3/100)*1000000</f>
        <v>969.50333633687808</v>
      </c>
      <c r="J27" s="54">
        <f t="shared" ref="J27:M27" si="12">(3*J$6*$Q$26+J$13+2*J$20)/($Q$27*J$3*3/100)*1000000</f>
        <v>779.32768655425627</v>
      </c>
      <c r="K27" s="54">
        <f t="shared" si="12"/>
        <v>653.80011080668874</v>
      </c>
      <c r="L27" s="54">
        <f t="shared" si="12"/>
        <v>604.07095602378831</v>
      </c>
      <c r="M27" s="55">
        <f t="shared" si="12"/>
        <v>563.19770945080438</v>
      </c>
      <c r="P27" t="s">
        <v>77</v>
      </c>
      <c r="Q27" s="52">
        <f>B2*365.25*24</f>
        <v>43830</v>
      </c>
    </row>
    <row r="28" spans="1:17" ht="15" thickBot="1" x14ac:dyDescent="0.35">
      <c r="A28" t="s">
        <v>47</v>
      </c>
      <c r="B28" s="7">
        <f>SUM(B52:B54)/1000000</f>
        <v>31.405062742679998</v>
      </c>
      <c r="G28" s="56" t="s">
        <v>76</v>
      </c>
      <c r="H28" s="57"/>
      <c r="I28" s="58">
        <f>(4*I$6*$Q$26+I$13+3*I$20)/($Q$27*I$3*4/100)*1000000</f>
        <v>943.57671903449091</v>
      </c>
      <c r="J28" s="58">
        <f t="shared" ref="J28:M28" si="13">(4*J$6*$Q$26+J$13+3*J$20)/($Q$27*J$3*4/100)*1000000</f>
        <v>757.38977960608258</v>
      </c>
      <c r="K28" s="58">
        <f t="shared" si="13"/>
        <v>634.78725811827144</v>
      </c>
      <c r="L28" s="58">
        <f t="shared" si="13"/>
        <v>586.24640662839693</v>
      </c>
      <c r="M28" s="59">
        <f t="shared" si="13"/>
        <v>546.42166296102448</v>
      </c>
    </row>
    <row r="29" spans="1:17" x14ac:dyDescent="0.3">
      <c r="A29" t="s">
        <v>48</v>
      </c>
      <c r="B29" s="15">
        <f>($B$22/100)*(1 + $B$22/100)^$B$6/((1 + $B$22/100)^$B$6 - 1)</f>
        <v>0.16103594264812895</v>
      </c>
    </row>
    <row r="32" spans="1:17" x14ac:dyDescent="0.3">
      <c r="A32" s="1" t="s">
        <v>29</v>
      </c>
    </row>
    <row r="33" spans="1:3" x14ac:dyDescent="0.3">
      <c r="A33" s="11" t="s">
        <v>46</v>
      </c>
      <c r="B33" s="29">
        <v>880</v>
      </c>
      <c r="C33" s="30" t="s">
        <v>69</v>
      </c>
    </row>
    <row r="34" spans="1:3" x14ac:dyDescent="0.3">
      <c r="A34" s="1"/>
      <c r="B34" s="12"/>
    </row>
    <row r="35" spans="1:3" x14ac:dyDescent="0.3">
      <c r="A35" t="s">
        <v>30</v>
      </c>
      <c r="B35" s="6">
        <v>7.11E-3</v>
      </c>
    </row>
    <row r="36" spans="1:3" x14ac:dyDescent="0.3">
      <c r="A36" t="s">
        <v>31</v>
      </c>
      <c r="B36" s="6">
        <v>2.2000000000000001E-3</v>
      </c>
    </row>
    <row r="37" spans="1:3" x14ac:dyDescent="0.3">
      <c r="A37" t="s">
        <v>32</v>
      </c>
      <c r="B37" s="14">
        <v>0.19750000000000001</v>
      </c>
    </row>
    <row r="38" spans="1:3" x14ac:dyDescent="0.3">
      <c r="B38" s="12"/>
    </row>
    <row r="39" spans="1:3" x14ac:dyDescent="0.3">
      <c r="A39" t="s">
        <v>33</v>
      </c>
      <c r="B39" s="7">
        <f>(1-2*B35)*LN((1-B35)/B35)</f>
        <v>4.8688833858441463</v>
      </c>
    </row>
    <row r="40" spans="1:3" x14ac:dyDescent="0.3">
      <c r="A40" t="s">
        <v>34</v>
      </c>
      <c r="B40" s="7">
        <f>(1-2*B36)*LN((1-B36)/B36)</f>
        <v>6.090180274884391</v>
      </c>
    </row>
    <row r="41" spans="1:3" x14ac:dyDescent="0.3">
      <c r="A41" t="s">
        <v>35</v>
      </c>
      <c r="B41" s="7">
        <f>(1-2*B37)*LN((1-B37)/B37)</f>
        <v>0.84820592875111156</v>
      </c>
    </row>
    <row r="42" spans="1:3" x14ac:dyDescent="0.3">
      <c r="B42" s="12"/>
    </row>
    <row r="43" spans="1:3" x14ac:dyDescent="0.3">
      <c r="A43" t="s">
        <v>36</v>
      </c>
      <c r="B43" s="8">
        <f>(B37-B36)/(B35-B36)*B33</f>
        <v>35002.851323828923</v>
      </c>
    </row>
    <row r="44" spans="1:3" x14ac:dyDescent="0.3">
      <c r="A44" t="s">
        <v>37</v>
      </c>
      <c r="B44" s="8">
        <f>B43*(B37-B35)/(B37-B36)</f>
        <v>34122.851323828923</v>
      </c>
    </row>
    <row r="45" spans="1:3" x14ac:dyDescent="0.3">
      <c r="A45" t="s">
        <v>38</v>
      </c>
      <c r="B45" s="7">
        <f>(B33*B41+B44*B40-B43*B39)/B33</f>
        <v>43.336290914469544</v>
      </c>
    </row>
    <row r="46" spans="1:3" x14ac:dyDescent="0.3">
      <c r="B46" s="12"/>
    </row>
    <row r="47" spans="1:3" x14ac:dyDescent="0.3">
      <c r="A47" t="s">
        <v>39</v>
      </c>
      <c r="B47" s="9">
        <f>111*1.3</f>
        <v>144.30000000000001</v>
      </c>
      <c r="C47" t="s">
        <v>52</v>
      </c>
    </row>
    <row r="48" spans="1:3" x14ac:dyDescent="0.3">
      <c r="A48" t="s">
        <v>40</v>
      </c>
      <c r="B48" s="28">
        <f>6.404*1.3</f>
        <v>8.3252000000000006</v>
      </c>
      <c r="C48" t="s">
        <v>52</v>
      </c>
    </row>
    <row r="49" spans="1:12" x14ac:dyDescent="0.3">
      <c r="A49" t="s">
        <v>41</v>
      </c>
      <c r="B49" s="9">
        <f>170.7*1.3</f>
        <v>221.91</v>
      </c>
      <c r="C49" t="s">
        <v>52</v>
      </c>
    </row>
    <row r="50" spans="1:12" x14ac:dyDescent="0.3">
      <c r="A50" t="s">
        <v>42</v>
      </c>
      <c r="B50" s="6">
        <v>20000</v>
      </c>
      <c r="C50" t="s">
        <v>51</v>
      </c>
    </row>
    <row r="51" spans="1:12" x14ac:dyDescent="0.3">
      <c r="B51" s="13"/>
    </row>
    <row r="52" spans="1:12" x14ac:dyDescent="0.3">
      <c r="A52" t="s">
        <v>43</v>
      </c>
      <c r="B52" s="10">
        <f>(B47+B48)*B43</f>
        <v>5342317.1838696543</v>
      </c>
    </row>
    <row r="53" spans="1:12" x14ac:dyDescent="0.3">
      <c r="A53" t="s">
        <v>44</v>
      </c>
      <c r="B53" s="10">
        <f>B33*B45*B49</f>
        <v>8462745.558810344</v>
      </c>
    </row>
    <row r="54" spans="1:12" x14ac:dyDescent="0.3">
      <c r="A54" t="s">
        <v>45</v>
      </c>
      <c r="B54" s="10">
        <f>B33*B50</f>
        <v>17600000</v>
      </c>
    </row>
    <row r="55" spans="1:12" x14ac:dyDescent="0.3">
      <c r="B55" s="12"/>
    </row>
    <row r="56" spans="1:12" x14ac:dyDescent="0.3">
      <c r="F56">
        <v>5</v>
      </c>
    </row>
    <row r="57" spans="1:12" x14ac:dyDescent="0.3">
      <c r="F57" s="4">
        <f t="shared" ref="F57" si="14">$B$10*(1-$B$9/100)^LOG(F$56, 2)</f>
        <v>26631.588274370803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</row>
    <row r="58" spans="1:12" x14ac:dyDescent="0.3">
      <c r="A58" t="s">
        <v>10</v>
      </c>
      <c r="B58">
        <v>1</v>
      </c>
      <c r="C58">
        <v>2</v>
      </c>
      <c r="D58">
        <v>3</v>
      </c>
      <c r="E58">
        <v>4</v>
      </c>
      <c r="G58" s="4">
        <f t="shared" ref="G58:L58" si="15">$B$10*(1-$B$9/100)^LOG(G$57, 2)</f>
        <v>26274.690544564422</v>
      </c>
      <c r="H58" s="4">
        <f t="shared" si="15"/>
        <v>25976.671862191593</v>
      </c>
      <c r="I58" s="4">
        <f t="shared" si="15"/>
        <v>25721.249999999996</v>
      </c>
      <c r="J58" s="4">
        <f t="shared" si="15"/>
        <v>25498.037422442223</v>
      </c>
      <c r="K58" s="4">
        <f t="shared" si="15"/>
        <v>25300.008860652262</v>
      </c>
      <c r="L58" s="4">
        <f t="shared" si="15"/>
        <v>25122.19547425694</v>
      </c>
    </row>
    <row r="59" spans="1:12" x14ac:dyDescent="0.3">
      <c r="B59" s="4">
        <f>$B$10*(1-$B$9/100)^LOG(B$58, 2)</f>
        <v>30000</v>
      </c>
      <c r="C59" s="4">
        <f>$B$10*(1-$B$9/100)^LOG(C$58, 2)</f>
        <v>28500</v>
      </c>
      <c r="D59" s="4">
        <f>$B$10*(1-$B$9/100)^LOG(D$58, 2)</f>
        <v>27657.568994278343</v>
      </c>
      <c r="E59" s="4">
        <f>$B$10*(1-$B$9/100)^LOG(E$58, 2)</f>
        <v>27075</v>
      </c>
      <c r="L59" s="4">
        <f>AVERAGE(B57:L57)</f>
        <v>3811.7983249101148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D2AE-9021-4255-BFCE-9A1D1BC90489}">
  <dimension ref="A1:Q59"/>
  <sheetViews>
    <sheetView zoomScaleNormal="100" workbookViewId="0">
      <selection activeCell="G24" sqref="G24"/>
    </sheetView>
  </sheetViews>
  <sheetFormatPr defaultRowHeight="14.4" x14ac:dyDescent="0.3"/>
  <cols>
    <col min="1" max="1" width="31.77734375" bestFit="1" customWidth="1"/>
    <col min="2" max="2" width="13.109375" bestFit="1" customWidth="1"/>
    <col min="7" max="7" width="33.109375" bestFit="1" customWidth="1"/>
    <col min="16" max="16" width="20" bestFit="1" customWidth="1"/>
  </cols>
  <sheetData>
    <row r="1" spans="1:16" s="24" customFormat="1" ht="15.6" x14ac:dyDescent="0.3">
      <c r="A1" s="23" t="s">
        <v>0</v>
      </c>
      <c r="G1" s="33"/>
      <c r="H1" s="34">
        <v>2023</v>
      </c>
      <c r="I1" s="34">
        <v>2030</v>
      </c>
      <c r="J1" s="34">
        <v>2035</v>
      </c>
      <c r="K1" s="34">
        <v>2040</v>
      </c>
      <c r="L1" s="34">
        <v>2045</v>
      </c>
      <c r="M1" s="35">
        <v>2050</v>
      </c>
      <c r="N1" s="25">
        <v>2055</v>
      </c>
    </row>
    <row r="2" spans="1:16" x14ac:dyDescent="0.3">
      <c r="A2" s="3" t="s">
        <v>1</v>
      </c>
      <c r="B2" s="16">
        <v>5</v>
      </c>
      <c r="C2" t="s">
        <v>54</v>
      </c>
      <c r="G2" s="48" t="s">
        <v>18</v>
      </c>
      <c r="H2" s="49" t="b">
        <v>0</v>
      </c>
      <c r="I2" s="49" t="b">
        <v>1</v>
      </c>
      <c r="J2" s="49" t="b">
        <v>1</v>
      </c>
      <c r="K2" s="49" t="b">
        <v>1</v>
      </c>
      <c r="L2" s="49" t="b">
        <v>1</v>
      </c>
      <c r="M2" s="50" t="b">
        <v>1</v>
      </c>
      <c r="N2" s="5" t="b">
        <v>1</v>
      </c>
      <c r="P2" s="32"/>
    </row>
    <row r="3" spans="1:16" x14ac:dyDescent="0.3">
      <c r="A3" s="3" t="s">
        <v>2</v>
      </c>
      <c r="B3" s="16">
        <v>13</v>
      </c>
      <c r="C3" t="s">
        <v>54</v>
      </c>
      <c r="G3" s="38" t="s">
        <v>62</v>
      </c>
      <c r="H3" s="21"/>
      <c r="I3" s="22">
        <v>60</v>
      </c>
      <c r="J3" s="22">
        <v>70</v>
      </c>
      <c r="K3" s="22">
        <v>80</v>
      </c>
      <c r="L3" s="22">
        <v>85</v>
      </c>
      <c r="M3" s="39">
        <v>90</v>
      </c>
      <c r="N3" s="5">
        <f>M4+$B$8*5</f>
        <v>301</v>
      </c>
      <c r="P3" s="32"/>
    </row>
    <row r="4" spans="1:16" x14ac:dyDescent="0.3">
      <c r="A4" s="3" t="s">
        <v>3</v>
      </c>
      <c r="B4" s="17">
        <f>B2/B3*100</f>
        <v>38.461538461538467</v>
      </c>
      <c r="C4" t="s">
        <v>54</v>
      </c>
      <c r="G4" s="36" t="s">
        <v>11</v>
      </c>
      <c r="H4" s="26"/>
      <c r="I4" s="26">
        <v>1</v>
      </c>
      <c r="J4" s="26">
        <f>ROUND(I4+$B$8*5*0.25, 0)</f>
        <v>26</v>
      </c>
      <c r="K4" s="26">
        <f>ROUND(J4+$B$8*5*0.5, 0)</f>
        <v>76</v>
      </c>
      <c r="L4" s="26">
        <f>ROUND(K4+$B$8*5, 0)</f>
        <v>176</v>
      </c>
      <c r="M4" s="37">
        <f t="shared" ref="M4" si="0">ROUND(L4+$B$8*5*0.25, 0)</f>
        <v>201</v>
      </c>
      <c r="P4" s="32"/>
    </row>
    <row r="5" spans="1:16" x14ac:dyDescent="0.3">
      <c r="A5" s="3" t="s">
        <v>4</v>
      </c>
      <c r="B5" s="16" t="s">
        <v>5</v>
      </c>
      <c r="C5" t="s">
        <v>54</v>
      </c>
      <c r="G5" s="40" t="s">
        <v>12</v>
      </c>
      <c r="H5" s="18"/>
      <c r="I5" s="20">
        <f>$B$10*LN(2)*((J4-1)*EXP(LN(J4-1)*LN(1-$B$9/100)/LN(2)) - I4*EXP(LN(I4)*LN(1-$B$9/100)/LN(2)))/(LN(1-$B$9/100)+LN(2))/(J4-I4-1)</f>
        <v>17598.709489497367</v>
      </c>
      <c r="J5" s="20">
        <f>$B$10*LN(2)*((K4-1)*EXP(LN(K4-1)*LN(1-$B$9/100)/LN(2)) - J4*EXP(LN(J4)*LN(1-$B$9/100)/LN(2)))/(LN(1-$B$9/100)+LN(2))/(K4-J4-1)</f>
        <v>13876.410702733912</v>
      </c>
      <c r="K5" s="20">
        <f>$B$10*LN(2)*((L4-1)*EXP(LN(L4-1)*LN(1-$B$9/100)/LN(2)) - K4*EXP(LN(K4)*LN(1-$B$9/100)/LN(2)))/(LN(1-$B$9/100)+LN(2))/(L4-K4-1)</f>
        <v>12050.904208458542</v>
      </c>
      <c r="L5" s="20">
        <f>$B$10*LN(2)*((M4-1)*EXP(LN(M4-1)*LN(1-$B$9/100)/LN(2)) - L4*EXP(LN(L4)*LN(1-$B$9/100)/LN(2)))/(LN(1-$B$9/100)+LN(2))/(M4-L4-1)</f>
        <v>11280.093226992596</v>
      </c>
      <c r="M5" s="41">
        <f>$B$10*LN(2)*((N3-1)*EXP(LN(N3-1)*LN(1-$B$9/100)/LN(2)) - M4*EXP(LN(M4)*LN(1-$B$9/100)/LN(2)))/(LN(1-$B$9/100)+LN(2))/(N3-M4-1)</f>
        <v>10809.737067901275</v>
      </c>
      <c r="P5" s="32"/>
    </row>
    <row r="6" spans="1:16" x14ac:dyDescent="0.3">
      <c r="A6" s="2" t="s">
        <v>6</v>
      </c>
      <c r="B6" s="16">
        <v>8</v>
      </c>
      <c r="C6" t="s">
        <v>54</v>
      </c>
      <c r="G6" s="38" t="s">
        <v>28</v>
      </c>
      <c r="H6" s="21"/>
      <c r="I6" s="22">
        <f>I5*5/1000</f>
        <v>87.993547447486833</v>
      </c>
      <c r="J6" s="22">
        <f t="shared" ref="J6:M6" si="1">J5*5/1000</f>
        <v>69.382053513669561</v>
      </c>
      <c r="K6" s="22">
        <f t="shared" si="1"/>
        <v>60.254521042292701</v>
      </c>
      <c r="L6" s="22">
        <f t="shared" si="1"/>
        <v>56.400466134962983</v>
      </c>
      <c r="M6" s="39">
        <f t="shared" si="1"/>
        <v>54.04868533950637</v>
      </c>
    </row>
    <row r="7" spans="1:16" x14ac:dyDescent="0.3">
      <c r="A7" s="3"/>
      <c r="B7" s="3"/>
      <c r="G7" s="36" t="s">
        <v>56</v>
      </c>
      <c r="H7" s="26"/>
      <c r="I7" s="26">
        <f>$B13</f>
        <v>15</v>
      </c>
      <c r="J7" s="26">
        <f>$B13*0.75</f>
        <v>11.25</v>
      </c>
      <c r="K7" s="26">
        <f>$B13*0.6</f>
        <v>9</v>
      </c>
      <c r="L7" s="26">
        <f>$B13*0.5</f>
        <v>7.5</v>
      </c>
      <c r="M7" s="37">
        <f>$B13*0.5</f>
        <v>7.5</v>
      </c>
    </row>
    <row r="8" spans="1:16" x14ac:dyDescent="0.3">
      <c r="A8" t="s">
        <v>7</v>
      </c>
      <c r="B8" s="29">
        <v>20</v>
      </c>
      <c r="G8" s="36" t="s">
        <v>57</v>
      </c>
      <c r="H8" s="26"/>
      <c r="I8" s="26">
        <f>$B16</f>
        <v>15</v>
      </c>
      <c r="J8" s="26">
        <f>$B16*0.75</f>
        <v>11.25</v>
      </c>
      <c r="K8" s="26">
        <f>$B16*0.6</f>
        <v>9</v>
      </c>
      <c r="L8" s="26">
        <f>$B16*0.5</f>
        <v>7.5</v>
      </c>
      <c r="M8" s="37">
        <f>$B16*0.5</f>
        <v>7.5</v>
      </c>
    </row>
    <row r="9" spans="1:16" x14ac:dyDescent="0.3">
      <c r="A9" t="s">
        <v>8</v>
      </c>
      <c r="B9" s="29">
        <v>10</v>
      </c>
      <c r="C9" t="s">
        <v>53</v>
      </c>
      <c r="G9" s="36" t="s">
        <v>19</v>
      </c>
      <c r="H9" s="26"/>
      <c r="I9" s="26">
        <f>I$8*$B18+I$7*$B15</f>
        <v>7.5</v>
      </c>
      <c r="J9" s="26">
        <f>J$8*$B18+J$7*$B15</f>
        <v>5.625</v>
      </c>
      <c r="K9" s="26">
        <f>K$8*$B18+K$7*$B15</f>
        <v>4.5</v>
      </c>
      <c r="L9" s="26">
        <f>L$8*$B18+L$7*$B15</f>
        <v>3.75</v>
      </c>
      <c r="M9" s="37">
        <f>M$8*$B18+M$7*$B15</f>
        <v>3.75</v>
      </c>
    </row>
    <row r="10" spans="1:16" x14ac:dyDescent="0.3">
      <c r="A10" t="s">
        <v>9</v>
      </c>
      <c r="B10" s="29">
        <v>25000</v>
      </c>
      <c r="C10" t="s">
        <v>53</v>
      </c>
      <c r="G10" s="36" t="s">
        <v>22</v>
      </c>
      <c r="H10" s="26"/>
      <c r="I10" s="26">
        <f>$B20</f>
        <v>0.55000000000000004</v>
      </c>
      <c r="J10" s="26">
        <f>$B20</f>
        <v>0.55000000000000004</v>
      </c>
      <c r="K10" s="26">
        <f>$B20</f>
        <v>0.55000000000000004</v>
      </c>
      <c r="L10" s="26">
        <f>$B20</f>
        <v>0.55000000000000004</v>
      </c>
      <c r="M10" s="37">
        <f>$B20</f>
        <v>0.55000000000000004</v>
      </c>
    </row>
    <row r="11" spans="1:16" x14ac:dyDescent="0.3">
      <c r="G11" s="36" t="s">
        <v>27</v>
      </c>
      <c r="H11" s="26" t="s">
        <v>68</v>
      </c>
      <c r="I11" s="27">
        <f>$B23*$B24+$B25*$B27</f>
        <v>0.29033982356884269</v>
      </c>
      <c r="J11" s="27">
        <f>$B23*$B24+$B25*$B27</f>
        <v>0.29033982356884269</v>
      </c>
      <c r="K11" s="27">
        <f>$B23*$B24+$B25*$B27</f>
        <v>0.29033982356884269</v>
      </c>
      <c r="L11" s="27">
        <f>$B23*$B24+$B25*$B27</f>
        <v>0.29033982356884269</v>
      </c>
      <c r="M11" s="42">
        <f>$B23*$B24+$B25*$B27</f>
        <v>0.29033982356884269</v>
      </c>
    </row>
    <row r="12" spans="1:16" x14ac:dyDescent="0.3">
      <c r="A12" t="s">
        <v>17</v>
      </c>
      <c r="B12" s="6" t="b">
        <v>1</v>
      </c>
      <c r="G12" s="40" t="s">
        <v>49</v>
      </c>
      <c r="H12" s="18"/>
      <c r="I12" s="19">
        <f>$B28*$B29</f>
        <v>3.8357375053820828</v>
      </c>
      <c r="J12" s="19">
        <f>$B28*$B29</f>
        <v>3.8357375053820828</v>
      </c>
      <c r="K12" s="19">
        <f>$B28*$B29</f>
        <v>3.8357375053820828</v>
      </c>
      <c r="L12" s="19">
        <f>$B28*$B29</f>
        <v>3.8357375053820828</v>
      </c>
      <c r="M12" s="43">
        <f>$B28*$B29</f>
        <v>3.8357375053820828</v>
      </c>
    </row>
    <row r="13" spans="1:16" x14ac:dyDescent="0.3">
      <c r="A13" t="s">
        <v>14</v>
      </c>
      <c r="B13" s="29">
        <v>15</v>
      </c>
      <c r="G13" s="38" t="s">
        <v>50</v>
      </c>
      <c r="H13" s="21"/>
      <c r="I13" s="22">
        <f>SUM(I9:I12)</f>
        <v>12.176077328950926</v>
      </c>
      <c r="J13" s="22">
        <f t="shared" ref="J13:M13" si="2">SUM(J9:J12)</f>
        <v>10.301077328950925</v>
      </c>
      <c r="K13" s="22">
        <f t="shared" si="2"/>
        <v>9.1760773289509245</v>
      </c>
      <c r="L13" s="22">
        <f t="shared" si="2"/>
        <v>8.4260773289509245</v>
      </c>
      <c r="M13" s="39">
        <f t="shared" si="2"/>
        <v>8.4260773289509245</v>
      </c>
    </row>
    <row r="14" spans="1:16" x14ac:dyDescent="0.3">
      <c r="A14" t="s">
        <v>66</v>
      </c>
      <c r="B14" s="29">
        <v>5</v>
      </c>
      <c r="G14" s="36" t="s">
        <v>64</v>
      </c>
      <c r="H14" s="26"/>
      <c r="I14" s="26">
        <f>$B14</f>
        <v>5</v>
      </c>
      <c r="J14" s="26">
        <f>$B14*0.75</f>
        <v>3.75</v>
      </c>
      <c r="K14" s="26">
        <f>$B14*0.6</f>
        <v>3</v>
      </c>
      <c r="L14" s="26">
        <f>$B14*0.5</f>
        <v>2.5</v>
      </c>
      <c r="M14" s="37">
        <f>$B14*0.5</f>
        <v>2.5</v>
      </c>
    </row>
    <row r="15" spans="1:16" x14ac:dyDescent="0.3">
      <c r="A15" t="s">
        <v>13</v>
      </c>
      <c r="B15" s="6">
        <v>0.3</v>
      </c>
      <c r="G15" s="36" t="s">
        <v>65</v>
      </c>
      <c r="H15" s="26"/>
      <c r="I15" s="26">
        <f>$B17</f>
        <v>5</v>
      </c>
      <c r="J15" s="26">
        <f>$B17*0.75</f>
        <v>3.75</v>
      </c>
      <c r="K15" s="26">
        <f>$B17*0.6</f>
        <v>3</v>
      </c>
      <c r="L15" s="26">
        <f>$B17*0.5</f>
        <v>2.5</v>
      </c>
      <c r="M15" s="37">
        <f>$B17*0.5</f>
        <v>2.5</v>
      </c>
    </row>
    <row r="16" spans="1:16" x14ac:dyDescent="0.3">
      <c r="A16" t="s">
        <v>15</v>
      </c>
      <c r="B16" s="29">
        <v>15</v>
      </c>
      <c r="G16" s="36" t="s">
        <v>19</v>
      </c>
      <c r="H16" s="26"/>
      <c r="I16" s="26">
        <f>I$15*$B18+I$14*$B15</f>
        <v>2.5</v>
      </c>
      <c r="J16" s="26">
        <f t="shared" ref="J16:M16" si="3">J$15*$B18+J$14*$B15</f>
        <v>1.875</v>
      </c>
      <c r="K16" s="26">
        <f t="shared" si="3"/>
        <v>1.5</v>
      </c>
      <c r="L16" s="26">
        <f t="shared" si="3"/>
        <v>1.25</v>
      </c>
      <c r="M16" s="37">
        <f t="shared" si="3"/>
        <v>1.25</v>
      </c>
    </row>
    <row r="17" spans="1:17" x14ac:dyDescent="0.3">
      <c r="A17" t="s">
        <v>67</v>
      </c>
      <c r="B17" s="29">
        <v>5</v>
      </c>
      <c r="G17" s="36" t="s">
        <v>22</v>
      </c>
      <c r="H17" s="26"/>
      <c r="I17" s="26">
        <f>$B20</f>
        <v>0.55000000000000004</v>
      </c>
      <c r="J17" s="26">
        <f t="shared" ref="J17:M17" si="4">$B20</f>
        <v>0.55000000000000004</v>
      </c>
      <c r="K17" s="26">
        <f t="shared" si="4"/>
        <v>0.55000000000000004</v>
      </c>
      <c r="L17" s="26">
        <f t="shared" si="4"/>
        <v>0.55000000000000004</v>
      </c>
      <c r="M17" s="37">
        <f t="shared" si="4"/>
        <v>0.55000000000000004</v>
      </c>
    </row>
    <row r="18" spans="1:17" x14ac:dyDescent="0.3">
      <c r="A18" t="s">
        <v>16</v>
      </c>
      <c r="B18" s="6">
        <v>0.2</v>
      </c>
      <c r="G18" s="36" t="s">
        <v>27</v>
      </c>
      <c r="H18" s="26"/>
      <c r="I18" s="27">
        <f>$B23*$B24+$B25*$B27</f>
        <v>0.29033982356884269</v>
      </c>
      <c r="J18" s="27">
        <f t="shared" ref="J18:M18" si="5">$B23*$B24+$B25*$B27</f>
        <v>0.29033982356884269</v>
      </c>
      <c r="K18" s="27">
        <f t="shared" si="5"/>
        <v>0.29033982356884269</v>
      </c>
      <c r="L18" s="27">
        <f t="shared" si="5"/>
        <v>0.29033982356884269</v>
      </c>
      <c r="M18" s="42">
        <f t="shared" si="5"/>
        <v>0.29033982356884269</v>
      </c>
    </row>
    <row r="19" spans="1:17" x14ac:dyDescent="0.3">
      <c r="G19" s="40" t="s">
        <v>49</v>
      </c>
      <c r="H19" s="18"/>
      <c r="I19" s="19">
        <f>$B28*$B29</f>
        <v>3.8357375053820828</v>
      </c>
      <c r="J19" s="19">
        <f t="shared" ref="J19:M19" si="6">$B28*$B29</f>
        <v>3.8357375053820828</v>
      </c>
      <c r="K19" s="19">
        <f t="shared" si="6"/>
        <v>3.8357375053820828</v>
      </c>
      <c r="L19" s="19">
        <f t="shared" si="6"/>
        <v>3.8357375053820828</v>
      </c>
      <c r="M19" s="43">
        <f t="shared" si="6"/>
        <v>3.8357375053820828</v>
      </c>
    </row>
    <row r="20" spans="1:17" ht="15" thickBot="1" x14ac:dyDescent="0.35">
      <c r="A20" t="s">
        <v>22</v>
      </c>
      <c r="B20" s="6">
        <v>0.55000000000000004</v>
      </c>
      <c r="C20" t="s">
        <v>55</v>
      </c>
      <c r="G20" s="44" t="s">
        <v>63</v>
      </c>
      <c r="H20" s="45"/>
      <c r="I20" s="46">
        <f>SUM(I16:I19)</f>
        <v>7.1760773289509254</v>
      </c>
      <c r="J20" s="46">
        <f t="shared" ref="J20:M20" si="7">SUM(J16:J19)</f>
        <v>6.5510773289509254</v>
      </c>
      <c r="K20" s="46">
        <f t="shared" si="7"/>
        <v>6.1760773289509254</v>
      </c>
      <c r="L20" s="46">
        <f t="shared" si="7"/>
        <v>5.9260773289509254</v>
      </c>
      <c r="M20" s="47">
        <f t="shared" si="7"/>
        <v>5.9260773289509254</v>
      </c>
    </row>
    <row r="22" spans="1:17" x14ac:dyDescent="0.3">
      <c r="A22" t="s">
        <v>23</v>
      </c>
      <c r="B22" s="6">
        <v>6</v>
      </c>
    </row>
    <row r="23" spans="1:17" ht="15" thickBot="1" x14ac:dyDescent="0.35">
      <c r="A23" t="s">
        <v>20</v>
      </c>
      <c r="B23" s="29">
        <v>2.5</v>
      </c>
      <c r="C23" s="31"/>
    </row>
    <row r="24" spans="1:17" ht="15.6" x14ac:dyDescent="0.3">
      <c r="A24" t="s">
        <v>24</v>
      </c>
      <c r="B24" s="15">
        <f>($B22/100)/((1 + $B$22/100)^$B$6 - 1)</f>
        <v>0.10103594264812896</v>
      </c>
      <c r="G24" s="53" t="s">
        <v>78</v>
      </c>
      <c r="H24" s="34">
        <v>2023</v>
      </c>
      <c r="I24" s="34">
        <v>2030</v>
      </c>
      <c r="J24" s="34">
        <v>2035</v>
      </c>
      <c r="K24" s="34">
        <v>2040</v>
      </c>
      <c r="L24" s="34">
        <v>2045</v>
      </c>
      <c r="M24" s="35">
        <v>2050</v>
      </c>
    </row>
    <row r="25" spans="1:17" x14ac:dyDescent="0.3">
      <c r="A25" t="s">
        <v>21</v>
      </c>
      <c r="B25" s="6">
        <v>0.5</v>
      </c>
      <c r="C25" t="s">
        <v>58</v>
      </c>
      <c r="G25" s="36" t="s">
        <v>73</v>
      </c>
      <c r="H25" s="26"/>
      <c r="I25" s="54">
        <f>(I$6*$Q$26+I$13)/($Q$27*I$3/100)*1000000</f>
        <v>754.72491368094984</v>
      </c>
      <c r="J25" s="54">
        <f t="shared" ref="J25:M25" si="8">(J6*$Q$26+J13)/($Q$27*J3/100)*1000000</f>
        <v>532.90704105747534</v>
      </c>
      <c r="K25" s="54">
        <f t="shared" si="8"/>
        <v>411.5144037153658</v>
      </c>
      <c r="L25" s="54">
        <f t="shared" si="8"/>
        <v>358.15723805117591</v>
      </c>
      <c r="M25" s="55">
        <f t="shared" si="8"/>
        <v>333.06177948784523</v>
      </c>
      <c r="P25" t="s">
        <v>71</v>
      </c>
      <c r="Q25" s="6">
        <v>20</v>
      </c>
    </row>
    <row r="26" spans="1:17" x14ac:dyDescent="0.3">
      <c r="A26" t="s">
        <v>26</v>
      </c>
      <c r="B26" s="6">
        <v>5</v>
      </c>
      <c r="G26" s="36" t="s">
        <v>74</v>
      </c>
      <c r="H26" s="26"/>
      <c r="I26" s="54">
        <f>(2*I$6*$Q$26+I$13+I$20)/($Q$27*I$3*2/100)*1000000</f>
        <v>659.6606502388629</v>
      </c>
      <c r="J26" s="54">
        <f t="shared" ref="J26:M26" si="9">(2*J$6*$Q$26+J$13+J$20)/($Q$27*J$3*2/100)*1000000</f>
        <v>471.79430027327669</v>
      </c>
      <c r="K26" s="54">
        <f t="shared" si="9"/>
        <v>368.73548516642671</v>
      </c>
      <c r="L26" s="54">
        <f t="shared" si="9"/>
        <v>324.60514507161582</v>
      </c>
      <c r="M26" s="55">
        <f t="shared" si="9"/>
        <v>301.37369167381627</v>
      </c>
      <c r="P26" t="s">
        <v>72</v>
      </c>
      <c r="Q26" s="52">
        <f>($B$22/100)*(1 + $B$22/100)^$Q$25/((1 + $B$22/100)^$Q$25 - 1)</f>
        <v>8.7184556976851402E-2</v>
      </c>
    </row>
    <row r="27" spans="1:17" x14ac:dyDescent="0.3">
      <c r="A27" t="s">
        <v>25</v>
      </c>
      <c r="B27" s="15">
        <f>($B22/100)/((1 + $B$22/100)^$B$6 - 1)*(1/(1 + $B$22/100)^B26)</f>
        <v>7.5499933897040558E-2</v>
      </c>
      <c r="G27" s="36" t="s">
        <v>75</v>
      </c>
      <c r="H27" s="26"/>
      <c r="I27" s="54">
        <f>(3*I$6*$Q$26+I$13+2*I$20)/($Q$27*I$3*3/100)*1000000</f>
        <v>627.972562424834</v>
      </c>
      <c r="J27" s="54">
        <f t="shared" ref="J27:M27" si="10">(3*J$6*$Q$26+J$13+2*J$20)/($Q$27*J$3*3/100)*1000000</f>
        <v>451.42338667854381</v>
      </c>
      <c r="K27" s="54">
        <f t="shared" si="10"/>
        <v>354.47584565011363</v>
      </c>
      <c r="L27" s="54">
        <f t="shared" si="10"/>
        <v>313.42111407842913</v>
      </c>
      <c r="M27" s="55">
        <f t="shared" si="10"/>
        <v>290.81099573580667</v>
      </c>
      <c r="P27" t="s">
        <v>77</v>
      </c>
      <c r="Q27" s="52">
        <f>B2*365.25*24</f>
        <v>43830</v>
      </c>
    </row>
    <row r="28" spans="1:17" ht="15" thickBot="1" x14ac:dyDescent="0.35">
      <c r="A28" t="s">
        <v>47</v>
      </c>
      <c r="B28" s="7">
        <f>SUM(B52:B54)/1000000</f>
        <v>23.819139021425471</v>
      </c>
      <c r="G28" s="56" t="s">
        <v>76</v>
      </c>
      <c r="H28" s="57"/>
      <c r="I28" s="58">
        <f>(4*I$6*$Q$26+I$13+3*I$20)/($Q$27*I$3*4/100)*1000000</f>
        <v>612.12851851781954</v>
      </c>
      <c r="J28" s="58">
        <f t="shared" ref="J28:M28" si="11">(4*J$6*$Q$26+J$13+3*J$20)/($Q$27*J$3*4/100)*1000000</f>
        <v>441.23792988117731</v>
      </c>
      <c r="K28" s="58">
        <f t="shared" si="11"/>
        <v>347.34602589195714</v>
      </c>
      <c r="L28" s="58">
        <f t="shared" si="11"/>
        <v>307.82909858183581</v>
      </c>
      <c r="M28" s="59">
        <f t="shared" si="11"/>
        <v>285.52964776680187</v>
      </c>
    </row>
    <row r="29" spans="1:17" x14ac:dyDescent="0.3">
      <c r="A29" t="s">
        <v>48</v>
      </c>
      <c r="B29" s="15">
        <f>($B$22/100)*(1 + $B$22/100)^$B$6/((1 + $B$22/100)^$B$6 - 1)</f>
        <v>0.16103594264812895</v>
      </c>
    </row>
    <row r="32" spans="1:17" x14ac:dyDescent="0.3">
      <c r="A32" s="1" t="s">
        <v>29</v>
      </c>
    </row>
    <row r="33" spans="1:3" x14ac:dyDescent="0.3">
      <c r="A33" s="11" t="s">
        <v>46</v>
      </c>
      <c r="B33" s="29">
        <v>880</v>
      </c>
      <c r="C33" s="30" t="s">
        <v>69</v>
      </c>
    </row>
    <row r="34" spans="1:3" x14ac:dyDescent="0.3">
      <c r="A34" s="1"/>
      <c r="B34" s="12"/>
    </row>
    <row r="35" spans="1:3" x14ac:dyDescent="0.3">
      <c r="A35" t="s">
        <v>30</v>
      </c>
      <c r="B35" s="6">
        <v>7.11E-3</v>
      </c>
    </row>
    <row r="36" spans="1:3" x14ac:dyDescent="0.3">
      <c r="A36" t="s">
        <v>31</v>
      </c>
      <c r="B36" s="6">
        <v>2.2000000000000001E-3</v>
      </c>
    </row>
    <row r="37" spans="1:3" x14ac:dyDescent="0.3">
      <c r="A37" t="s">
        <v>32</v>
      </c>
      <c r="B37" s="14">
        <v>0.19750000000000001</v>
      </c>
    </row>
    <row r="38" spans="1:3" x14ac:dyDescent="0.3">
      <c r="B38" s="12"/>
    </row>
    <row r="39" spans="1:3" x14ac:dyDescent="0.3">
      <c r="A39" t="s">
        <v>33</v>
      </c>
      <c r="B39" s="7">
        <f>(1-2*B35)*LN((1-B35)/B35)</f>
        <v>4.8688833858441463</v>
      </c>
    </row>
    <row r="40" spans="1:3" x14ac:dyDescent="0.3">
      <c r="A40" t="s">
        <v>34</v>
      </c>
      <c r="B40" s="7">
        <f>(1-2*B36)*LN((1-B36)/B36)</f>
        <v>6.090180274884391</v>
      </c>
    </row>
    <row r="41" spans="1:3" x14ac:dyDescent="0.3">
      <c r="A41" t="s">
        <v>35</v>
      </c>
      <c r="B41" s="7">
        <f>(1-2*B37)*LN((1-B37)/B37)</f>
        <v>0.84820592875111156</v>
      </c>
    </row>
    <row r="42" spans="1:3" x14ac:dyDescent="0.3">
      <c r="B42" s="12"/>
    </row>
    <row r="43" spans="1:3" x14ac:dyDescent="0.3">
      <c r="A43" t="s">
        <v>36</v>
      </c>
      <c r="B43" s="8">
        <f>(B37-B36)/(B35-B36)*B33</f>
        <v>35002.851323828923</v>
      </c>
    </row>
    <row r="44" spans="1:3" x14ac:dyDescent="0.3">
      <c r="A44" t="s">
        <v>37</v>
      </c>
      <c r="B44" s="8">
        <f>B43*(B37-B35)/(B37-B36)</f>
        <v>34122.851323828923</v>
      </c>
    </row>
    <row r="45" spans="1:3" x14ac:dyDescent="0.3">
      <c r="A45" t="s">
        <v>38</v>
      </c>
      <c r="B45" s="7">
        <f>(B33*B41+B44*B40-B43*B39)/B33</f>
        <v>43.336290914469544</v>
      </c>
    </row>
    <row r="46" spans="1:3" x14ac:dyDescent="0.3">
      <c r="B46" s="12"/>
    </row>
    <row r="47" spans="1:3" x14ac:dyDescent="0.3">
      <c r="A47" t="s">
        <v>39</v>
      </c>
      <c r="B47" s="9">
        <v>111</v>
      </c>
      <c r="C47" t="s">
        <v>52</v>
      </c>
    </row>
    <row r="48" spans="1:3" x14ac:dyDescent="0.3">
      <c r="A48" t="s">
        <v>40</v>
      </c>
      <c r="B48" s="28">
        <v>6.4</v>
      </c>
      <c r="C48" t="s">
        <v>52</v>
      </c>
    </row>
    <row r="49" spans="1:12" x14ac:dyDescent="0.3">
      <c r="A49" t="s">
        <v>41</v>
      </c>
      <c r="B49" s="9">
        <f>170.7</f>
        <v>170.7</v>
      </c>
      <c r="C49" t="s">
        <v>52</v>
      </c>
    </row>
    <row r="50" spans="1:12" x14ac:dyDescent="0.3">
      <c r="A50" t="s">
        <v>42</v>
      </c>
      <c r="B50" s="6">
        <v>15000</v>
      </c>
      <c r="C50" t="s">
        <v>51</v>
      </c>
    </row>
    <row r="51" spans="1:12" x14ac:dyDescent="0.3">
      <c r="B51" s="13"/>
    </row>
    <row r="52" spans="1:12" x14ac:dyDescent="0.3">
      <c r="A52" t="s">
        <v>43</v>
      </c>
      <c r="B52" s="10">
        <f>(B47+B48)*B43</f>
        <v>4109334.7454175157</v>
      </c>
    </row>
    <row r="53" spans="1:12" x14ac:dyDescent="0.3">
      <c r="A53" t="s">
        <v>44</v>
      </c>
      <c r="B53" s="10">
        <f>B33*B45*B49</f>
        <v>6509804.2760079568</v>
      </c>
    </row>
    <row r="54" spans="1:12" x14ac:dyDescent="0.3">
      <c r="A54" t="s">
        <v>45</v>
      </c>
      <c r="B54" s="10">
        <f>B33*B50</f>
        <v>13200000</v>
      </c>
    </row>
    <row r="55" spans="1:12" x14ac:dyDescent="0.3">
      <c r="B55" s="12"/>
    </row>
    <row r="56" spans="1:12" x14ac:dyDescent="0.3">
      <c r="F56">
        <v>5</v>
      </c>
    </row>
    <row r="57" spans="1:12" x14ac:dyDescent="0.3">
      <c r="F57" s="4">
        <f t="shared" ref="F57" si="12">$B$10*(1-$B$9/100)^LOG(F$56, 2)</f>
        <v>19574.668042009609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</row>
    <row r="58" spans="1:12" x14ac:dyDescent="0.3">
      <c r="A58" t="s">
        <v>10</v>
      </c>
      <c r="B58">
        <v>1</v>
      </c>
      <c r="C58">
        <v>2</v>
      </c>
      <c r="D58">
        <v>3</v>
      </c>
      <c r="E58">
        <v>4</v>
      </c>
      <c r="G58" s="4">
        <f t="shared" ref="G58:L58" si="13">$B$10*(1-$B$9/100)^LOG(G$57, 2)</f>
        <v>19039.634692027692</v>
      </c>
      <c r="H58" s="4">
        <f t="shared" si="13"/>
        <v>18598.69584955605</v>
      </c>
      <c r="I58" s="4">
        <f t="shared" si="13"/>
        <v>18225.000000000004</v>
      </c>
      <c r="J58" s="4">
        <f t="shared" si="13"/>
        <v>17901.614281771079</v>
      </c>
      <c r="K58" s="4">
        <f t="shared" si="13"/>
        <v>17617.201237808651</v>
      </c>
      <c r="L58" s="4">
        <f t="shared" si="13"/>
        <v>17363.81295961525</v>
      </c>
    </row>
    <row r="59" spans="1:12" x14ac:dyDescent="0.3">
      <c r="B59" s="4">
        <f>$B$10*(1-$B$9/100)^LOG(B$58, 2)</f>
        <v>25000</v>
      </c>
      <c r="C59" s="4">
        <f>$B$10*(1-$B$9/100)^LOG(C$58, 2)</f>
        <v>22500</v>
      </c>
      <c r="D59" s="4">
        <f>$B$10*(1-$B$9/100)^LOG(D$58, 2)</f>
        <v>21155.149657808546</v>
      </c>
      <c r="E59" s="4">
        <f>$B$10*(1-$B$9/100)^LOG(E$58, 2)</f>
        <v>20250</v>
      </c>
      <c r="L59" s="4">
        <f>AVERAGE(B57:L57)</f>
        <v>2803.6668631442299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8742-E8F5-4BC4-B9C8-3505A5335922}">
  <dimension ref="A1:Q59"/>
  <sheetViews>
    <sheetView zoomScaleNormal="100" workbookViewId="0">
      <selection activeCell="G24" sqref="G24"/>
    </sheetView>
  </sheetViews>
  <sheetFormatPr defaultRowHeight="14.4" x14ac:dyDescent="0.3"/>
  <cols>
    <col min="1" max="1" width="31.77734375" bestFit="1" customWidth="1"/>
    <col min="2" max="2" width="13.109375" bestFit="1" customWidth="1"/>
    <col min="7" max="7" width="33.109375" bestFit="1" customWidth="1"/>
    <col min="16" max="16" width="20" bestFit="1" customWidth="1"/>
  </cols>
  <sheetData>
    <row r="1" spans="1:16" s="24" customFormat="1" ht="15.6" x14ac:dyDescent="0.3">
      <c r="A1" s="23" t="s">
        <v>0</v>
      </c>
      <c r="G1" s="33"/>
      <c r="H1" s="34">
        <v>2023</v>
      </c>
      <c r="I1" s="34">
        <v>2030</v>
      </c>
      <c r="J1" s="34">
        <v>2035</v>
      </c>
      <c r="K1" s="34">
        <v>2040</v>
      </c>
      <c r="L1" s="34">
        <v>2045</v>
      </c>
      <c r="M1" s="35">
        <v>2050</v>
      </c>
      <c r="N1" s="25">
        <v>2055</v>
      </c>
    </row>
    <row r="2" spans="1:16" x14ac:dyDescent="0.3">
      <c r="A2" s="3" t="s">
        <v>1</v>
      </c>
      <c r="B2" s="16">
        <v>5</v>
      </c>
      <c r="C2" t="s">
        <v>54</v>
      </c>
      <c r="G2" s="48" t="s">
        <v>18</v>
      </c>
      <c r="H2" s="49" t="b">
        <v>0</v>
      </c>
      <c r="I2" s="49" t="b">
        <v>1</v>
      </c>
      <c r="J2" s="49" t="b">
        <v>1</v>
      </c>
      <c r="K2" s="49" t="b">
        <v>1</v>
      </c>
      <c r="L2" s="49" t="b">
        <v>1</v>
      </c>
      <c r="M2" s="50" t="b">
        <v>1</v>
      </c>
      <c r="N2" s="5" t="b">
        <v>1</v>
      </c>
      <c r="P2" s="32"/>
    </row>
    <row r="3" spans="1:16" x14ac:dyDescent="0.3">
      <c r="A3" s="3" t="s">
        <v>2</v>
      </c>
      <c r="B3" s="16">
        <v>13</v>
      </c>
      <c r="C3" t="s">
        <v>54</v>
      </c>
      <c r="G3" s="38" t="s">
        <v>62</v>
      </c>
      <c r="H3" s="21"/>
      <c r="I3" s="22">
        <v>60</v>
      </c>
      <c r="J3" s="51">
        <v>72.5</v>
      </c>
      <c r="K3" s="22">
        <v>85</v>
      </c>
      <c r="L3" s="22">
        <v>90</v>
      </c>
      <c r="M3" s="39">
        <v>90</v>
      </c>
      <c r="N3" s="5">
        <f>M4+$B$8*5</f>
        <v>1501</v>
      </c>
      <c r="P3" s="32"/>
    </row>
    <row r="4" spans="1:16" x14ac:dyDescent="0.3">
      <c r="A4" s="3" t="s">
        <v>3</v>
      </c>
      <c r="B4" s="17">
        <f>B2/B3*100</f>
        <v>38.461538461538467</v>
      </c>
      <c r="C4" t="s">
        <v>54</v>
      </c>
      <c r="G4" s="36" t="s">
        <v>11</v>
      </c>
      <c r="H4" s="26"/>
      <c r="I4" s="26">
        <v>1</v>
      </c>
      <c r="J4" s="26">
        <f>ROUND(I4+$B$8*5*0.25, 0)</f>
        <v>126</v>
      </c>
      <c r="K4" s="26">
        <f>ROUND(J4+$B$8*5*0.5, 0)</f>
        <v>376</v>
      </c>
      <c r="L4" s="26">
        <f>ROUND(K4+$B$8*5, 0)</f>
        <v>876</v>
      </c>
      <c r="M4" s="37">
        <f t="shared" ref="M4" si="0">ROUND(L4+$B$8*5*0.25, 0)</f>
        <v>1001</v>
      </c>
      <c r="P4" s="32"/>
    </row>
    <row r="5" spans="1:16" x14ac:dyDescent="0.3">
      <c r="A5" s="3" t="s">
        <v>4</v>
      </c>
      <c r="B5" s="16" t="s">
        <v>5</v>
      </c>
      <c r="C5" t="s">
        <v>54</v>
      </c>
      <c r="G5" s="40" t="s">
        <v>12</v>
      </c>
      <c r="H5" s="18"/>
      <c r="I5" s="20">
        <f>$B$10*LN(2)*((J4-1)*EXP(LN(J4-1)*LN(1-$B$9/100)/LN(2)) - I4*EXP(LN(I4)*LN(1-$B$9/100)/LN(2)))/(LN(1-$B$9/100)+LN(2))/(J4-I4-1)</f>
        <v>8279.1770823397001</v>
      </c>
      <c r="J5" s="20">
        <f>$B$10*LN(2)*((K4-1)*EXP(LN(K4-1)*LN(1-$B$9/100)/LN(2)) - J4*EXP(LN(J4)*LN(1-$B$9/100)/LN(2)))/(LN(1-$B$9/100)+LN(2))/(K4-J4-1)</f>
        <v>5549.6322370536518</v>
      </c>
      <c r="K5" s="20">
        <f>$B$10*LN(2)*((L4-1)*EXP(LN(L4-1)*LN(1-$B$9/100)/LN(2)) - K4*EXP(LN(K4)*LN(1-$B$9/100)/LN(2)))/(LN(1-$B$9/100)+LN(2))/(L4-K4-1)</f>
        <v>4455.9503392451797</v>
      </c>
      <c r="L5" s="20">
        <f>$B$10*LN(2)*((M4-1)*EXP(LN(M4-1)*LN(1-$B$9/100)/LN(2)) - L4*EXP(LN(L4)*LN(1-$B$9/100)/LN(2)))/(LN(1-$B$9/100)+LN(2))/(M4-L4-1)</f>
        <v>4020.160290292275</v>
      </c>
      <c r="M5" s="41">
        <f>$B$10*LN(2)*((N3-1)*EXP(LN(N3-1)*LN(1-$B$9/100)/LN(2)) - M4*EXP(LN(M4)*LN(1-$B$9/100)/LN(2)))/(LN(1-$B$9/100)+LN(2))/(N3-M4-1)</f>
        <v>3764.5832887746892</v>
      </c>
      <c r="P5" s="32"/>
    </row>
    <row r="6" spans="1:16" x14ac:dyDescent="0.3">
      <c r="A6" s="2" t="s">
        <v>6</v>
      </c>
      <c r="B6" s="16">
        <v>8</v>
      </c>
      <c r="C6" t="s">
        <v>54</v>
      </c>
      <c r="G6" s="38" t="s">
        <v>28</v>
      </c>
      <c r="H6" s="21"/>
      <c r="I6" s="22">
        <f>I5*5/1000</f>
        <v>41.395885411698501</v>
      </c>
      <c r="J6" s="22">
        <f t="shared" ref="J6:M6" si="1">J5*5/1000</f>
        <v>27.748161185268259</v>
      </c>
      <c r="K6" s="22">
        <f t="shared" si="1"/>
        <v>22.279751696225901</v>
      </c>
      <c r="L6" s="22">
        <f t="shared" si="1"/>
        <v>20.100801451461376</v>
      </c>
      <c r="M6" s="39">
        <f t="shared" si="1"/>
        <v>18.822916443873446</v>
      </c>
    </row>
    <row r="7" spans="1:16" x14ac:dyDescent="0.3">
      <c r="A7" s="3"/>
      <c r="B7" s="3"/>
      <c r="G7" s="36" t="s">
        <v>56</v>
      </c>
      <c r="H7" s="26"/>
      <c r="I7" s="26">
        <f>$B13</f>
        <v>10</v>
      </c>
      <c r="J7" s="26">
        <f>$B13*0.5</f>
        <v>5</v>
      </c>
      <c r="K7" s="26">
        <f>$B13*0.5</f>
        <v>5</v>
      </c>
      <c r="L7" s="26">
        <f>$B13*0.25</f>
        <v>2.5</v>
      </c>
      <c r="M7" s="37">
        <f>$B13*0</f>
        <v>0</v>
      </c>
    </row>
    <row r="8" spans="1:16" x14ac:dyDescent="0.3">
      <c r="A8" t="s">
        <v>7</v>
      </c>
      <c r="B8" s="29">
        <v>100</v>
      </c>
      <c r="G8" s="36" t="s">
        <v>57</v>
      </c>
      <c r="H8" s="26"/>
      <c r="I8" s="26">
        <f>$B16</f>
        <v>10</v>
      </c>
      <c r="J8" s="26">
        <f>$B16*0.5</f>
        <v>5</v>
      </c>
      <c r="K8" s="26">
        <f>$B16*0</f>
        <v>0</v>
      </c>
      <c r="L8" s="26">
        <f>$B16*0</f>
        <v>0</v>
      </c>
      <c r="M8" s="37">
        <f>$B16*0</f>
        <v>0</v>
      </c>
    </row>
    <row r="9" spans="1:16" x14ac:dyDescent="0.3">
      <c r="A9" t="s">
        <v>8</v>
      </c>
      <c r="B9" s="29">
        <v>15</v>
      </c>
      <c r="C9" t="s">
        <v>53</v>
      </c>
      <c r="G9" s="36" t="s">
        <v>19</v>
      </c>
      <c r="H9" s="26"/>
      <c r="I9" s="26">
        <f>I$8*$B18+I$7*$B15</f>
        <v>5</v>
      </c>
      <c r="J9" s="26">
        <f>J$8*$B18+J$7*$B15</f>
        <v>2.5</v>
      </c>
      <c r="K9" s="26">
        <f>K$8*$B18+K$7*$B15</f>
        <v>1.5</v>
      </c>
      <c r="L9" s="26">
        <f>L$8*$B18+L$7*$B15</f>
        <v>0.75</v>
      </c>
      <c r="M9" s="37">
        <f>M$8*$B18+M$7*$B15</f>
        <v>0</v>
      </c>
    </row>
    <row r="10" spans="1:16" x14ac:dyDescent="0.3">
      <c r="A10" t="s">
        <v>9</v>
      </c>
      <c r="B10" s="29">
        <v>20000</v>
      </c>
      <c r="C10" t="s">
        <v>53</v>
      </c>
      <c r="G10" s="36" t="s">
        <v>22</v>
      </c>
      <c r="H10" s="26"/>
      <c r="I10" s="26">
        <f>$B20</f>
        <v>0.45</v>
      </c>
      <c r="J10" s="26">
        <f>$B20</f>
        <v>0.45</v>
      </c>
      <c r="K10" s="26">
        <f>$B20</f>
        <v>0.45</v>
      </c>
      <c r="L10" s="26">
        <f>$B20</f>
        <v>0.45</v>
      </c>
      <c r="M10" s="37">
        <f>$B20</f>
        <v>0.45</v>
      </c>
    </row>
    <row r="11" spans="1:16" x14ac:dyDescent="0.3">
      <c r="G11" s="36" t="s">
        <v>27</v>
      </c>
      <c r="H11" s="26" t="s">
        <v>68</v>
      </c>
      <c r="I11" s="27">
        <f>$B23*$B24+$B25*$B27</f>
        <v>0.13006992500501324</v>
      </c>
      <c r="J11" s="27">
        <f>$B23*$B24+$B25*$B27</f>
        <v>0.13006992500501324</v>
      </c>
      <c r="K11" s="27">
        <f>$B23*$B24+$B25*$B27</f>
        <v>0.13006992500501324</v>
      </c>
      <c r="L11" s="27">
        <f>$B23*$B24+$B25*$B27</f>
        <v>0.13006992500501324</v>
      </c>
      <c r="M11" s="42">
        <f>$B23*$B24+$B25*$B27</f>
        <v>0.13006992500501324</v>
      </c>
    </row>
    <row r="12" spans="1:16" x14ac:dyDescent="0.3">
      <c r="A12" t="s">
        <v>17</v>
      </c>
      <c r="B12" s="6" t="b">
        <v>1</v>
      </c>
      <c r="G12" s="40" t="s">
        <v>49</v>
      </c>
      <c r="H12" s="18"/>
      <c r="I12" s="19">
        <f>$B28*$B29</f>
        <v>2.7851847827398659</v>
      </c>
      <c r="J12" s="19">
        <f>$B28*$B29</f>
        <v>2.7851847827398659</v>
      </c>
      <c r="K12" s="19">
        <f>$B28*$B29</f>
        <v>2.7851847827398659</v>
      </c>
      <c r="L12" s="19">
        <f>$B28*$B29</f>
        <v>2.7851847827398659</v>
      </c>
      <c r="M12" s="43">
        <f>$B28*$B29</f>
        <v>2.7851847827398659</v>
      </c>
    </row>
    <row r="13" spans="1:16" x14ac:dyDescent="0.3">
      <c r="A13" t="s">
        <v>14</v>
      </c>
      <c r="B13" s="29">
        <v>10</v>
      </c>
      <c r="G13" s="38" t="s">
        <v>50</v>
      </c>
      <c r="H13" s="21"/>
      <c r="I13" s="22">
        <f>SUM(I9:I12)</f>
        <v>8.365254707744878</v>
      </c>
      <c r="J13" s="22">
        <f t="shared" ref="J13:M13" si="2">SUM(J9:J12)</f>
        <v>5.8652547077448798</v>
      </c>
      <c r="K13" s="22">
        <f t="shared" si="2"/>
        <v>4.8652547077448789</v>
      </c>
      <c r="L13" s="22">
        <f t="shared" si="2"/>
        <v>4.1152547077448789</v>
      </c>
      <c r="M13" s="39">
        <f t="shared" si="2"/>
        <v>3.3652547077448789</v>
      </c>
    </row>
    <row r="14" spans="1:16" x14ac:dyDescent="0.3">
      <c r="A14" t="s">
        <v>66</v>
      </c>
      <c r="B14" s="29">
        <v>5</v>
      </c>
      <c r="G14" s="36" t="s">
        <v>64</v>
      </c>
      <c r="H14" s="26"/>
      <c r="I14" s="26">
        <f>$B14</f>
        <v>5</v>
      </c>
      <c r="J14" s="26">
        <f>$B14*0.5</f>
        <v>2.5</v>
      </c>
      <c r="K14" s="26">
        <f>$B14*0</f>
        <v>0</v>
      </c>
      <c r="L14" s="26">
        <f t="shared" ref="L14:M14" si="3">$B14*0</f>
        <v>0</v>
      </c>
      <c r="M14" s="37">
        <f t="shared" si="3"/>
        <v>0</v>
      </c>
    </row>
    <row r="15" spans="1:16" x14ac:dyDescent="0.3">
      <c r="A15" t="s">
        <v>13</v>
      </c>
      <c r="B15" s="6">
        <v>0.3</v>
      </c>
      <c r="G15" s="36" t="s">
        <v>65</v>
      </c>
      <c r="H15" s="26"/>
      <c r="I15" s="26">
        <f>$B17</f>
        <v>5</v>
      </c>
      <c r="J15" s="26">
        <f>$B17*0.5</f>
        <v>2.5</v>
      </c>
      <c r="K15" s="26">
        <f>$B17*0</f>
        <v>0</v>
      </c>
      <c r="L15" s="26">
        <f t="shared" ref="L15:M15" si="4">$B17*0</f>
        <v>0</v>
      </c>
      <c r="M15" s="37">
        <f t="shared" si="4"/>
        <v>0</v>
      </c>
    </row>
    <row r="16" spans="1:16" x14ac:dyDescent="0.3">
      <c r="A16" t="s">
        <v>15</v>
      </c>
      <c r="B16" s="29">
        <v>10</v>
      </c>
      <c r="G16" s="36" t="s">
        <v>19</v>
      </c>
      <c r="H16" s="26"/>
      <c r="I16" s="26">
        <f>I$15*$B18+I$14*$B15</f>
        <v>2.5</v>
      </c>
      <c r="J16" s="26">
        <f t="shared" ref="J16:M16" si="5">J$15*$B18+J$14*$B15</f>
        <v>1.25</v>
      </c>
      <c r="K16" s="26">
        <f t="shared" si="5"/>
        <v>0</v>
      </c>
      <c r="L16" s="26">
        <f t="shared" si="5"/>
        <v>0</v>
      </c>
      <c r="M16" s="37">
        <f t="shared" si="5"/>
        <v>0</v>
      </c>
    </row>
    <row r="17" spans="1:17" x14ac:dyDescent="0.3">
      <c r="A17" t="s">
        <v>67</v>
      </c>
      <c r="B17" s="29">
        <v>5</v>
      </c>
      <c r="G17" s="36" t="s">
        <v>22</v>
      </c>
      <c r="H17" s="26"/>
      <c r="I17" s="26">
        <f>$B20</f>
        <v>0.45</v>
      </c>
      <c r="J17" s="26">
        <f t="shared" ref="J17:M17" si="6">$B20</f>
        <v>0.45</v>
      </c>
      <c r="K17" s="26">
        <f t="shared" si="6"/>
        <v>0.45</v>
      </c>
      <c r="L17" s="26">
        <f t="shared" si="6"/>
        <v>0.45</v>
      </c>
      <c r="M17" s="37">
        <f t="shared" si="6"/>
        <v>0.45</v>
      </c>
    </row>
    <row r="18" spans="1:17" x14ac:dyDescent="0.3">
      <c r="A18" t="s">
        <v>16</v>
      </c>
      <c r="B18" s="6">
        <v>0.2</v>
      </c>
      <c r="G18" s="36" t="s">
        <v>27</v>
      </c>
      <c r="H18" s="26"/>
      <c r="I18" s="27">
        <f>$B23*$B24+$B25*$B27</f>
        <v>0.13006992500501324</v>
      </c>
      <c r="J18" s="27">
        <f t="shared" ref="J18:M18" si="7">$B23*$B24+$B25*$B27</f>
        <v>0.13006992500501324</v>
      </c>
      <c r="K18" s="27">
        <f t="shared" si="7"/>
        <v>0.13006992500501324</v>
      </c>
      <c r="L18" s="27">
        <f t="shared" si="7"/>
        <v>0.13006992500501324</v>
      </c>
      <c r="M18" s="42">
        <f t="shared" si="7"/>
        <v>0.13006992500501324</v>
      </c>
    </row>
    <row r="19" spans="1:17" x14ac:dyDescent="0.3">
      <c r="G19" s="40" t="s">
        <v>49</v>
      </c>
      <c r="H19" s="18"/>
      <c r="I19" s="19">
        <f>$B28*$B29</f>
        <v>2.7851847827398659</v>
      </c>
      <c r="J19" s="19">
        <f t="shared" ref="J19:M19" si="8">$B28*$B29</f>
        <v>2.7851847827398659</v>
      </c>
      <c r="K19" s="19">
        <f t="shared" si="8"/>
        <v>2.7851847827398659</v>
      </c>
      <c r="L19" s="19">
        <f t="shared" si="8"/>
        <v>2.7851847827398659</v>
      </c>
      <c r="M19" s="43">
        <f t="shared" si="8"/>
        <v>2.7851847827398659</v>
      </c>
    </row>
    <row r="20" spans="1:17" ht="15" thickBot="1" x14ac:dyDescent="0.35">
      <c r="A20" t="s">
        <v>22</v>
      </c>
      <c r="B20" s="6">
        <v>0.45</v>
      </c>
      <c r="C20" t="s">
        <v>59</v>
      </c>
      <c r="G20" s="44" t="s">
        <v>63</v>
      </c>
      <c r="H20" s="45"/>
      <c r="I20" s="46">
        <f>SUM(I16:I19)</f>
        <v>5.8652547077448798</v>
      </c>
      <c r="J20" s="46">
        <f t="shared" ref="J20:M20" si="9">SUM(J16:J19)</f>
        <v>4.6152547077448789</v>
      </c>
      <c r="K20" s="46">
        <f t="shared" si="9"/>
        <v>3.3652547077448789</v>
      </c>
      <c r="L20" s="46">
        <f t="shared" si="9"/>
        <v>3.3652547077448789</v>
      </c>
      <c r="M20" s="47">
        <f t="shared" si="9"/>
        <v>3.3652547077448789</v>
      </c>
    </row>
    <row r="22" spans="1:17" x14ac:dyDescent="0.3">
      <c r="A22" t="s">
        <v>23</v>
      </c>
      <c r="B22" s="6">
        <v>6</v>
      </c>
    </row>
    <row r="23" spans="1:17" ht="15" thickBot="1" x14ac:dyDescent="0.35">
      <c r="A23" t="s">
        <v>20</v>
      </c>
      <c r="B23" s="29">
        <v>1.25</v>
      </c>
      <c r="C23" s="30" t="s">
        <v>60</v>
      </c>
    </row>
    <row r="24" spans="1:17" ht="15.6" x14ac:dyDescent="0.3">
      <c r="A24" t="s">
        <v>24</v>
      </c>
      <c r="B24" s="15">
        <f>($B22/100)/((1 + $B$22/100)^$B$6 - 1)</f>
        <v>0.10103594264812896</v>
      </c>
      <c r="G24" s="53" t="s">
        <v>78</v>
      </c>
      <c r="H24" s="34">
        <v>2023</v>
      </c>
      <c r="I24" s="34">
        <v>2030</v>
      </c>
      <c r="J24" s="34">
        <v>2035</v>
      </c>
      <c r="K24" s="34">
        <v>2040</v>
      </c>
      <c r="L24" s="34">
        <v>2045</v>
      </c>
      <c r="M24" s="35">
        <v>2050</v>
      </c>
    </row>
    <row r="25" spans="1:17" x14ac:dyDescent="0.3">
      <c r="A25" t="s">
        <v>21</v>
      </c>
      <c r="B25" s="6">
        <v>0.05</v>
      </c>
      <c r="C25" t="s">
        <v>59</v>
      </c>
      <c r="G25" s="36" t="s">
        <v>73</v>
      </c>
      <c r="H25" s="26"/>
      <c r="I25" s="54">
        <f>(I$6*$Q$26+I$13)/($Q$27*I$3/100)*1000000</f>
        <v>455.33259708070261</v>
      </c>
      <c r="J25" s="54">
        <f t="shared" ref="J25:M25" si="10">(J6*$Q$26+J13)/($Q$27*J3/100)*1000000</f>
        <v>260.70840622797351</v>
      </c>
      <c r="K25" s="54">
        <f t="shared" si="10"/>
        <v>182.73020061291857</v>
      </c>
      <c r="L25" s="54">
        <f t="shared" si="10"/>
        <v>148.74982070043833</v>
      </c>
      <c r="M25" s="55">
        <f t="shared" si="10"/>
        <v>126.91262552073101</v>
      </c>
      <c r="P25" t="s">
        <v>71</v>
      </c>
      <c r="Q25" s="6">
        <v>20</v>
      </c>
    </row>
    <row r="26" spans="1:17" x14ac:dyDescent="0.3">
      <c r="A26" t="s">
        <v>26</v>
      </c>
      <c r="B26" s="6">
        <v>5</v>
      </c>
      <c r="G26" s="36" t="s">
        <v>74</v>
      </c>
      <c r="H26" s="26"/>
      <c r="I26" s="54">
        <f>(2*I$6*$Q$26+I$13+I$20)/($Q$27*I$3*2/100)*1000000</f>
        <v>407.80046535965926</v>
      </c>
      <c r="J26" s="54">
        <f t="shared" ref="J26:M26" si="11">(2*J$6*$Q$26+J$13+J$20)/($Q$27*J$3*2/100)*1000000</f>
        <v>241.03993792961072</v>
      </c>
      <c r="K26" s="54">
        <f t="shared" si="11"/>
        <v>162.59894482518251</v>
      </c>
      <c r="L26" s="54">
        <f t="shared" si="11"/>
        <v>139.24339435622963</v>
      </c>
      <c r="M26" s="55">
        <f t="shared" si="11"/>
        <v>126.91262552073104</v>
      </c>
      <c r="P26" t="s">
        <v>72</v>
      </c>
      <c r="Q26" s="52">
        <f>($B$22/100)*(1 + $B$22/100)^$Q$25/((1 + $B$22/100)^$Q$25 - 1)</f>
        <v>8.7184556976851402E-2</v>
      </c>
    </row>
    <row r="27" spans="1:17" x14ac:dyDescent="0.3">
      <c r="A27" t="s">
        <v>25</v>
      </c>
      <c r="B27" s="15">
        <f>($B22/100)/((1 + $B$22/100)^$B$6 - 1)*(1/(1 + $B$22/100)^B26)</f>
        <v>7.5499933897040558E-2</v>
      </c>
      <c r="G27" s="36" t="s">
        <v>75</v>
      </c>
      <c r="H27" s="26"/>
      <c r="I27" s="54">
        <f>(3*I$6*$Q$26+I$13+2*I$20)/($Q$27*I$3*3/100)*1000000</f>
        <v>391.9564214526448</v>
      </c>
      <c r="J27" s="54">
        <f t="shared" ref="J27:M27" si="12">(3*J$6*$Q$26+J$13+2*J$20)/($Q$27*J$3*3/100)*1000000</f>
        <v>234.48378183015646</v>
      </c>
      <c r="K27" s="54">
        <f t="shared" si="12"/>
        <v>155.88852622927055</v>
      </c>
      <c r="L27" s="54">
        <f t="shared" si="12"/>
        <v>136.07458557482673</v>
      </c>
      <c r="M27" s="55">
        <f t="shared" si="12"/>
        <v>126.91262552073101</v>
      </c>
      <c r="P27" t="s">
        <v>77</v>
      </c>
      <c r="Q27" s="52">
        <f>B2*365.25*24</f>
        <v>43830</v>
      </c>
    </row>
    <row r="28" spans="1:17" ht="15" thickBot="1" x14ac:dyDescent="0.35">
      <c r="A28" t="s">
        <v>47</v>
      </c>
      <c r="B28" s="7">
        <f>SUM(B52:B54)/1000000</f>
        <v>17.295423226264614</v>
      </c>
      <c r="G28" s="56" t="s">
        <v>76</v>
      </c>
      <c r="H28" s="57"/>
      <c r="I28" s="58">
        <f>(4*I$6*$Q$26+I$13+3*I$20)/($Q$27*I$3*4/100)*1000000</f>
        <v>384.03439949913758</v>
      </c>
      <c r="J28" s="58">
        <f t="shared" ref="J28:M28" si="13">(4*J$6*$Q$26+J$13+3*J$20)/($Q$27*J$3*4/100)*1000000</f>
        <v>231.2057037804293</v>
      </c>
      <c r="K28" s="58">
        <f t="shared" si="13"/>
        <v>152.53331693131452</v>
      </c>
      <c r="L28" s="58">
        <f t="shared" si="13"/>
        <v>134.4901811841253</v>
      </c>
      <c r="M28" s="59">
        <f t="shared" si="13"/>
        <v>126.91262552073104</v>
      </c>
    </row>
    <row r="29" spans="1:17" x14ac:dyDescent="0.3">
      <c r="A29" t="s">
        <v>48</v>
      </c>
      <c r="B29" s="15">
        <f>($B$22/100)*(1 + $B$22/100)^$B$6/((1 + $B$22/100)^$B$6 - 1)</f>
        <v>0.16103594264812895</v>
      </c>
    </row>
    <row r="32" spans="1:17" x14ac:dyDescent="0.3">
      <c r="A32" s="1" t="s">
        <v>29</v>
      </c>
    </row>
    <row r="33" spans="1:3" x14ac:dyDescent="0.3">
      <c r="A33" s="11" t="s">
        <v>46</v>
      </c>
      <c r="B33" s="29">
        <v>880</v>
      </c>
      <c r="C33" s="30" t="s">
        <v>69</v>
      </c>
    </row>
    <row r="34" spans="1:3" x14ac:dyDescent="0.3">
      <c r="A34" s="1"/>
      <c r="B34" s="12"/>
    </row>
    <row r="35" spans="1:3" x14ac:dyDescent="0.3">
      <c r="A35" t="s">
        <v>30</v>
      </c>
      <c r="B35" s="6">
        <v>7.11E-3</v>
      </c>
    </row>
    <row r="36" spans="1:3" x14ac:dyDescent="0.3">
      <c r="A36" t="s">
        <v>31</v>
      </c>
      <c r="B36" s="6">
        <v>2.2000000000000001E-3</v>
      </c>
    </row>
    <row r="37" spans="1:3" x14ac:dyDescent="0.3">
      <c r="A37" t="s">
        <v>32</v>
      </c>
      <c r="B37" s="14">
        <v>0.19750000000000001</v>
      </c>
    </row>
    <row r="38" spans="1:3" x14ac:dyDescent="0.3">
      <c r="B38" s="12"/>
    </row>
    <row r="39" spans="1:3" x14ac:dyDescent="0.3">
      <c r="A39" t="s">
        <v>33</v>
      </c>
      <c r="B39" s="7">
        <f>(1-2*B35)*LN((1-B35)/B35)</f>
        <v>4.8688833858441463</v>
      </c>
    </row>
    <row r="40" spans="1:3" x14ac:dyDescent="0.3">
      <c r="A40" t="s">
        <v>34</v>
      </c>
      <c r="B40" s="7">
        <f>(1-2*B36)*LN((1-B36)/B36)</f>
        <v>6.090180274884391</v>
      </c>
    </row>
    <row r="41" spans="1:3" x14ac:dyDescent="0.3">
      <c r="A41" t="s">
        <v>35</v>
      </c>
      <c r="B41" s="7">
        <f>(1-2*B37)*LN((1-B37)/B37)</f>
        <v>0.84820592875111156</v>
      </c>
    </row>
    <row r="42" spans="1:3" x14ac:dyDescent="0.3">
      <c r="B42" s="12"/>
    </row>
    <row r="43" spans="1:3" x14ac:dyDescent="0.3">
      <c r="A43" t="s">
        <v>36</v>
      </c>
      <c r="B43" s="8">
        <f>(B37-B36)/(B35-B36)*B33</f>
        <v>35002.851323828923</v>
      </c>
    </row>
    <row r="44" spans="1:3" x14ac:dyDescent="0.3">
      <c r="A44" t="s">
        <v>37</v>
      </c>
      <c r="B44" s="8">
        <f>B43*(B37-B35)/(B37-B36)</f>
        <v>34122.851323828923</v>
      </c>
    </row>
    <row r="45" spans="1:3" x14ac:dyDescent="0.3">
      <c r="A45" t="s">
        <v>38</v>
      </c>
      <c r="B45" s="7">
        <f>(B33*B41+B44*B40-B43*B39)/B33</f>
        <v>43.336290914469544</v>
      </c>
    </row>
    <row r="46" spans="1:3" x14ac:dyDescent="0.3">
      <c r="B46" s="12"/>
    </row>
    <row r="47" spans="1:3" x14ac:dyDescent="0.3">
      <c r="A47" t="s">
        <v>39</v>
      </c>
      <c r="B47" s="9">
        <f>111*0.8</f>
        <v>88.800000000000011</v>
      </c>
      <c r="C47" t="s">
        <v>61</v>
      </c>
    </row>
    <row r="48" spans="1:3" x14ac:dyDescent="0.3">
      <c r="A48" t="s">
        <v>40</v>
      </c>
      <c r="B48" s="28">
        <f>6.404*0.8</f>
        <v>5.1232000000000006</v>
      </c>
      <c r="C48" t="s">
        <v>61</v>
      </c>
    </row>
    <row r="49" spans="1:12" x14ac:dyDescent="0.3">
      <c r="A49" t="s">
        <v>41</v>
      </c>
      <c r="B49" s="9">
        <f>170.7*0.8</f>
        <v>136.56</v>
      </c>
      <c r="C49" t="s">
        <v>61</v>
      </c>
    </row>
    <row r="50" spans="1:12" x14ac:dyDescent="0.3">
      <c r="A50" t="s">
        <v>42</v>
      </c>
      <c r="B50" s="6">
        <v>10000</v>
      </c>
      <c r="C50" t="s">
        <v>70</v>
      </c>
    </row>
    <row r="51" spans="1:12" x14ac:dyDescent="0.3">
      <c r="B51" s="13"/>
    </row>
    <row r="52" spans="1:12" x14ac:dyDescent="0.3">
      <c r="A52" t="s">
        <v>43</v>
      </c>
      <c r="B52" s="10">
        <f>(B47+B48)*B43</f>
        <v>3287579.8054582491</v>
      </c>
    </row>
    <row r="53" spans="1:12" x14ac:dyDescent="0.3">
      <c r="A53" t="s">
        <v>44</v>
      </c>
      <c r="B53" s="10">
        <f>B33*B45*B49</f>
        <v>5207843.420806366</v>
      </c>
    </row>
    <row r="54" spans="1:12" x14ac:dyDescent="0.3">
      <c r="A54" t="s">
        <v>45</v>
      </c>
      <c r="B54" s="10">
        <f>B33*B50</f>
        <v>8800000</v>
      </c>
    </row>
    <row r="55" spans="1:12" x14ac:dyDescent="0.3">
      <c r="B55" s="12"/>
    </row>
    <row r="56" spans="1:12" x14ac:dyDescent="0.3">
      <c r="F56">
        <v>5</v>
      </c>
    </row>
    <row r="57" spans="1:12" x14ac:dyDescent="0.3">
      <c r="F57" s="4">
        <f t="shared" ref="F57" si="14">$B$10*(1-$B$9/100)^LOG(F$56, 2)</f>
        <v>13713.421231218776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</row>
    <row r="58" spans="1:12" x14ac:dyDescent="0.3">
      <c r="A58" t="s">
        <v>10</v>
      </c>
      <c r="B58">
        <v>1</v>
      </c>
      <c r="C58">
        <v>2</v>
      </c>
      <c r="D58">
        <v>3</v>
      </c>
      <c r="E58">
        <v>4</v>
      </c>
      <c r="G58" s="4">
        <f t="shared" ref="G58:L58" si="15">$B$10*(1-$B$9/100)^LOG(G$57, 2)</f>
        <v>13139.552223871691</v>
      </c>
      <c r="H58" s="4">
        <f t="shared" si="15"/>
        <v>12673.129402141121</v>
      </c>
      <c r="I58" s="4">
        <f t="shared" si="15"/>
        <v>12282.499999999998</v>
      </c>
      <c r="J58" s="4">
        <f t="shared" si="15"/>
        <v>11947.946895768269</v>
      </c>
      <c r="K58" s="4">
        <f t="shared" si="15"/>
        <v>11656.40804653596</v>
      </c>
      <c r="L58" s="4">
        <f t="shared" si="15"/>
        <v>11398.812122861671</v>
      </c>
    </row>
    <row r="59" spans="1:12" x14ac:dyDescent="0.3">
      <c r="B59" s="4">
        <f>$B$10*(1-$B$9/100)^LOG(B$58, 2)</f>
        <v>20000</v>
      </c>
      <c r="C59" s="4">
        <f>$B$10*(1-$B$9/100)^LOG(C$58, 2)</f>
        <v>17000</v>
      </c>
      <c r="D59" s="4">
        <f>$B$10*(1-$B$9/100)^LOG(D$58, 2)</f>
        <v>15458.296733966694</v>
      </c>
      <c r="E59" s="4">
        <f>$B$10*(1-$B$9/100)^LOG(E$58, 2)</f>
        <v>14449.999999999998</v>
      </c>
      <c r="L59" s="4">
        <f>AVERAGE(B57:L57)</f>
        <v>1966.3458901741108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</vt:lpstr>
      <vt:lpstr>Medium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Germonpre</dc:creator>
  <cp:lastModifiedBy>Sam Wolk</cp:lastModifiedBy>
  <dcterms:created xsi:type="dcterms:W3CDTF">2015-06-05T18:17:20Z</dcterms:created>
  <dcterms:modified xsi:type="dcterms:W3CDTF">2024-04-16T17:08:22Z</dcterms:modified>
</cp:coreProperties>
</file>