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OneDrive\Documents\MSU\Thesis\beach-nourishment-efficiency\"/>
    </mc:Choice>
  </mc:AlternateContent>
  <bookViews>
    <workbookView xWindow="0" yWindow="0" windowWidth="28800" windowHeight="12216"/>
  </bookViews>
  <sheets>
    <sheet name="main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M51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H2" i="1"/>
  <c r="BI2" i="1"/>
  <c r="FO2" i="1"/>
  <c r="FM44" i="1"/>
  <c r="FM43" i="1"/>
  <c r="FC42" i="1"/>
  <c r="FC41" i="1"/>
  <c r="FJ15" i="1"/>
  <c r="FA15" i="1"/>
  <c r="FJ14" i="1"/>
  <c r="FA14" i="1"/>
  <c r="FJ13" i="1"/>
  <c r="FA13" i="1"/>
  <c r="FJ12" i="1"/>
  <c r="FA12" i="1"/>
  <c r="FJ11" i="1"/>
  <c r="FA11" i="1"/>
  <c r="FJ10" i="1"/>
  <c r="FA10" i="1"/>
  <c r="FJ9" i="1"/>
  <c r="FA9" i="1"/>
  <c r="FJ8" i="1"/>
  <c r="FA8" i="1"/>
  <c r="FL7" i="1"/>
  <c r="FJ7" i="1"/>
  <c r="FL6" i="1"/>
  <c r="FJ6" i="1"/>
  <c r="FL5" i="1"/>
  <c r="FJ5" i="1"/>
  <c r="FJ4" i="1"/>
  <c r="FJ3" i="1"/>
  <c r="EX3" i="1"/>
  <c r="EG3" i="1"/>
  <c r="FJ2" i="1"/>
  <c r="EX2" i="1"/>
  <c r="EG2" i="1"/>
  <c r="DU51" i="1"/>
  <c r="DR51" i="1"/>
  <c r="DM51" i="1"/>
  <c r="DJ51" i="1"/>
  <c r="DI51" i="1"/>
  <c r="DH51" i="1"/>
  <c r="DG51" i="1"/>
  <c r="DE51" i="1"/>
  <c r="DD51" i="1"/>
  <c r="DA51" i="1"/>
  <c r="CY51" i="1"/>
  <c r="CX51" i="1"/>
  <c r="CW51" i="1"/>
  <c r="CV51" i="1"/>
  <c r="CU51" i="1"/>
  <c r="CS51" i="1"/>
  <c r="DU50" i="1"/>
  <c r="DR50" i="1"/>
  <c r="DM50" i="1"/>
  <c r="DJ50" i="1"/>
  <c r="DI50" i="1"/>
  <c r="DH50" i="1"/>
  <c r="DG50" i="1"/>
  <c r="DE50" i="1"/>
  <c r="DD50" i="1"/>
  <c r="DA50" i="1"/>
  <c r="CY50" i="1"/>
  <c r="CX50" i="1"/>
  <c r="CW50" i="1"/>
  <c r="CV50" i="1"/>
  <c r="CU50" i="1"/>
  <c r="CS50" i="1"/>
  <c r="DU49" i="1"/>
  <c r="DR49" i="1"/>
  <c r="DM49" i="1"/>
  <c r="DI49" i="1"/>
  <c r="DG49" i="1"/>
  <c r="DD49" i="1"/>
  <c r="DA49" i="1"/>
  <c r="CX49" i="1"/>
  <c r="CV49" i="1"/>
  <c r="CU49" i="1"/>
  <c r="DY44" i="1"/>
  <c r="DR44" i="1"/>
  <c r="DY43" i="1"/>
  <c r="DR43" i="1"/>
  <c r="DP42" i="1"/>
  <c r="DO42" i="1"/>
  <c r="DP41" i="1"/>
  <c r="DO41" i="1"/>
  <c r="DP40" i="1"/>
  <c r="DT34" i="1"/>
  <c r="DS34" i="1"/>
  <c r="DT33" i="1"/>
  <c r="DS33" i="1"/>
  <c r="DP33" i="1"/>
  <c r="DT32" i="1"/>
  <c r="DP32" i="1"/>
  <c r="DT31" i="1"/>
  <c r="DP31" i="1"/>
  <c r="DT30" i="1"/>
  <c r="DP30" i="1"/>
  <c r="DT29" i="1"/>
  <c r="DP29" i="1"/>
  <c r="DT28" i="1"/>
  <c r="DP28" i="1"/>
  <c r="DT27" i="1"/>
  <c r="DT26" i="1"/>
  <c r="DU25" i="1"/>
  <c r="DU24" i="1"/>
  <c r="DU23" i="1"/>
  <c r="DU22" i="1"/>
  <c r="DU21" i="1"/>
  <c r="DU20" i="1"/>
  <c r="DU19" i="1"/>
  <c r="DU18" i="1"/>
  <c r="DU17" i="1"/>
  <c r="DU16" i="1"/>
  <c r="DV15" i="1"/>
  <c r="DP15" i="1"/>
  <c r="DM15" i="1"/>
  <c r="DV14" i="1"/>
  <c r="DP14" i="1"/>
  <c r="DM14" i="1"/>
  <c r="DV13" i="1"/>
  <c r="DP13" i="1"/>
  <c r="DM13" i="1"/>
  <c r="DV12" i="1"/>
  <c r="DP12" i="1"/>
  <c r="DM12" i="1"/>
  <c r="DV11" i="1"/>
  <c r="DP11" i="1"/>
  <c r="DM11" i="1"/>
  <c r="DV10" i="1"/>
  <c r="DP10" i="1"/>
  <c r="DM10" i="1"/>
  <c r="DV9" i="1"/>
  <c r="DP9" i="1"/>
  <c r="DM9" i="1"/>
  <c r="DV8" i="1"/>
  <c r="DP8" i="1"/>
  <c r="DM8" i="1"/>
  <c r="DX7" i="1"/>
  <c r="DV7" i="1"/>
  <c r="DP7" i="1"/>
  <c r="DX6" i="1"/>
  <c r="DV6" i="1"/>
  <c r="DP6" i="1"/>
  <c r="DX5" i="1"/>
  <c r="DV5" i="1"/>
  <c r="DP5" i="1"/>
  <c r="DV4" i="1"/>
  <c r="DP4" i="1"/>
  <c r="DV3" i="1"/>
  <c r="DP3" i="1"/>
  <c r="DJ3" i="1"/>
  <c r="CT3" i="1"/>
  <c r="DV2" i="1"/>
  <c r="DP2" i="1"/>
  <c r="DJ2" i="1"/>
  <c r="CT2" i="1"/>
  <c r="G2" i="1"/>
  <c r="N5" i="1" l="1"/>
  <c r="N13" i="1"/>
  <c r="N21" i="1"/>
  <c r="N29" i="1"/>
  <c r="N37" i="1"/>
  <c r="N45" i="1"/>
  <c r="M50" i="1"/>
  <c r="M2" i="1"/>
  <c r="N7" i="1"/>
  <c r="N15" i="1"/>
  <c r="N23" i="1"/>
  <c r="N31" i="1"/>
  <c r="N39" i="1"/>
  <c r="N47" i="1"/>
  <c r="M34" i="1"/>
  <c r="M42" i="1"/>
  <c r="N4" i="1"/>
  <c r="N12" i="1"/>
  <c r="N20" i="1"/>
  <c r="N28" i="1"/>
  <c r="N36" i="1"/>
  <c r="N44" i="1"/>
  <c r="M26" i="1"/>
  <c r="N9" i="1"/>
  <c r="N17" i="1"/>
  <c r="N25" i="1"/>
  <c r="N33" i="1"/>
  <c r="N41" i="1"/>
  <c r="N49" i="1"/>
  <c r="M18" i="1"/>
  <c r="M6" i="1"/>
  <c r="M14" i="1"/>
  <c r="M22" i="1"/>
  <c r="M30" i="1"/>
  <c r="M38" i="1"/>
  <c r="M46" i="1"/>
  <c r="N3" i="1"/>
  <c r="N11" i="1"/>
  <c r="N19" i="1"/>
  <c r="N27" i="1"/>
  <c r="N35" i="1"/>
  <c r="N43" i="1"/>
  <c r="M10" i="1"/>
  <c r="N2" i="1"/>
  <c r="N6" i="1"/>
  <c r="N8" i="1"/>
  <c r="N10" i="1"/>
  <c r="N14" i="1"/>
  <c r="N16" i="1"/>
  <c r="N18" i="1"/>
  <c r="N22" i="1"/>
  <c r="N24" i="1"/>
  <c r="N26" i="1"/>
  <c r="N30" i="1"/>
  <c r="N32" i="1"/>
  <c r="N34" i="1"/>
  <c r="N38" i="1"/>
  <c r="N40" i="1"/>
  <c r="N42" i="1"/>
  <c r="N46" i="1"/>
  <c r="N48" i="1"/>
  <c r="N50" i="1"/>
  <c r="M3" i="1"/>
  <c r="M7" i="1"/>
  <c r="M11" i="1"/>
  <c r="M15" i="1"/>
  <c r="M19" i="1"/>
  <c r="M23" i="1"/>
  <c r="M27" i="1"/>
  <c r="M31" i="1"/>
  <c r="M35" i="1"/>
  <c r="M39" i="1"/>
  <c r="M43" i="1"/>
  <c r="M47" i="1"/>
  <c r="M4" i="1"/>
  <c r="M8" i="1"/>
  <c r="M12" i="1"/>
  <c r="M16" i="1"/>
  <c r="M20" i="1"/>
  <c r="M24" i="1"/>
  <c r="M28" i="1"/>
  <c r="M32" i="1"/>
  <c r="M36" i="1"/>
  <c r="M40" i="1"/>
  <c r="M44" i="1"/>
  <c r="M48" i="1"/>
  <c r="M5" i="1"/>
  <c r="M9" i="1"/>
  <c r="M13" i="1"/>
  <c r="M17" i="1"/>
  <c r="M21" i="1"/>
  <c r="M25" i="1"/>
  <c r="M29" i="1"/>
  <c r="M33" i="1"/>
  <c r="M37" i="1"/>
  <c r="M41" i="1"/>
  <c r="M45" i="1"/>
  <c r="M49" i="1"/>
  <c r="DZ2" i="1"/>
  <c r="G51" i="1"/>
  <c r="G50" i="1"/>
  <c r="G49" i="1"/>
  <c r="DZ48" i="1"/>
  <c r="J48" i="1"/>
  <c r="K48" i="1" s="1"/>
  <c r="G48" i="1"/>
  <c r="DZ47" i="1"/>
  <c r="J47" i="1"/>
  <c r="G47" i="1"/>
  <c r="DZ46" i="1"/>
  <c r="J46" i="1"/>
  <c r="G46" i="1"/>
  <c r="DZ45" i="1"/>
  <c r="J45" i="1"/>
  <c r="K45" i="1" s="1"/>
  <c r="G45" i="1"/>
  <c r="FX44" i="1"/>
  <c r="FW44" i="1"/>
  <c r="FV44" i="1"/>
  <c r="FU44" i="1"/>
  <c r="FT44" i="1"/>
  <c r="FS44" i="1"/>
  <c r="FR44" i="1"/>
  <c r="FQ44" i="1"/>
  <c r="FP44" i="1"/>
  <c r="FO44" i="1"/>
  <c r="G44" i="1"/>
  <c r="FX43" i="1"/>
  <c r="FW43" i="1"/>
  <c r="FV43" i="1"/>
  <c r="FU43" i="1"/>
  <c r="FT43" i="1"/>
  <c r="FS43" i="1"/>
  <c r="FR43" i="1"/>
  <c r="FQ43" i="1"/>
  <c r="FP43" i="1"/>
  <c r="FO43" i="1"/>
  <c r="G43" i="1"/>
  <c r="FW42" i="1"/>
  <c r="FV42" i="1"/>
  <c r="FU42" i="1"/>
  <c r="FT42" i="1"/>
  <c r="FS42" i="1"/>
  <c r="FR42" i="1"/>
  <c r="FO42" i="1"/>
  <c r="FP42" i="1"/>
  <c r="FD42" i="1"/>
  <c r="FQ42" i="1" s="1"/>
  <c r="G42" i="1"/>
  <c r="FW41" i="1"/>
  <c r="FV41" i="1"/>
  <c r="FU41" i="1"/>
  <c r="FT41" i="1"/>
  <c r="FS41" i="1"/>
  <c r="FR41" i="1"/>
  <c r="FO41" i="1"/>
  <c r="FP41" i="1"/>
  <c r="DZ41" i="1"/>
  <c r="G41" i="1"/>
  <c r="FW40" i="1"/>
  <c r="FV40" i="1"/>
  <c r="FU40" i="1"/>
  <c r="FT40" i="1"/>
  <c r="FS40" i="1"/>
  <c r="FR40" i="1"/>
  <c r="FP40" i="1"/>
  <c r="FO40" i="1"/>
  <c r="FD40" i="1"/>
  <c r="DZ40" i="1"/>
  <c r="G40" i="1"/>
  <c r="FX39" i="1"/>
  <c r="FW39" i="1"/>
  <c r="FV39" i="1"/>
  <c r="FU39" i="1"/>
  <c r="FT39" i="1"/>
  <c r="FS39" i="1"/>
  <c r="FR39" i="1"/>
  <c r="FQ39" i="1"/>
  <c r="FP39" i="1"/>
  <c r="FO39" i="1"/>
  <c r="DZ39" i="1"/>
  <c r="J39" i="1"/>
  <c r="G39" i="1"/>
  <c r="FX38" i="1"/>
  <c r="FW38" i="1"/>
  <c r="FV38" i="1"/>
  <c r="FU38" i="1"/>
  <c r="FT38" i="1"/>
  <c r="FS38" i="1"/>
  <c r="FR38" i="1"/>
  <c r="FQ38" i="1"/>
  <c r="FP38" i="1"/>
  <c r="FO38" i="1"/>
  <c r="DZ38" i="1"/>
  <c r="EA38" i="1" s="1"/>
  <c r="EC38" i="1" s="1"/>
  <c r="J38" i="1"/>
  <c r="K38" i="1" s="1"/>
  <c r="G38" i="1"/>
  <c r="FX37" i="1"/>
  <c r="FW37" i="1"/>
  <c r="FV37" i="1"/>
  <c r="FU37" i="1"/>
  <c r="FT37" i="1"/>
  <c r="FS37" i="1"/>
  <c r="FR37" i="1"/>
  <c r="FQ37" i="1"/>
  <c r="FP37" i="1"/>
  <c r="FO37" i="1"/>
  <c r="DZ37" i="1"/>
  <c r="EA37" i="1" s="1"/>
  <c r="EC37" i="1" s="1"/>
  <c r="J37" i="1"/>
  <c r="K37" i="1" s="1"/>
  <c r="G37" i="1"/>
  <c r="FX36" i="1"/>
  <c r="FW36" i="1"/>
  <c r="FV36" i="1"/>
  <c r="FU36" i="1"/>
  <c r="FT36" i="1"/>
  <c r="FS36" i="1"/>
  <c r="FR36" i="1"/>
  <c r="FQ36" i="1"/>
  <c r="FP36" i="1"/>
  <c r="FO36" i="1"/>
  <c r="DZ36" i="1"/>
  <c r="EA36" i="1" s="1"/>
  <c r="EC36" i="1" s="1"/>
  <c r="J36" i="1"/>
  <c r="K36" i="1" s="1"/>
  <c r="G36" i="1"/>
  <c r="DZ35" i="1"/>
  <c r="EA35" i="1" s="1"/>
  <c r="EC35" i="1" s="1"/>
  <c r="J35" i="1"/>
  <c r="K35" i="1" s="1"/>
  <c r="G35" i="1"/>
  <c r="G34" i="1"/>
  <c r="G33" i="1"/>
  <c r="G32" i="1"/>
  <c r="G31" i="1"/>
  <c r="J30" i="1"/>
  <c r="G30" i="1"/>
  <c r="G29" i="1"/>
  <c r="G28" i="1"/>
  <c r="DZ27" i="1"/>
  <c r="G27" i="1"/>
  <c r="DZ26" i="1"/>
  <c r="G26" i="1"/>
  <c r="DZ25" i="1"/>
  <c r="G25" i="1"/>
  <c r="J24" i="1"/>
  <c r="K24" i="1" s="1"/>
  <c r="G24" i="1"/>
  <c r="DZ23" i="1"/>
  <c r="G23" i="1"/>
  <c r="G22" i="1"/>
  <c r="J21" i="1"/>
  <c r="K21" i="1" s="1"/>
  <c r="G21" i="1"/>
  <c r="DZ20" i="1"/>
  <c r="EA20" i="1" s="1"/>
  <c r="EC20" i="1" s="1"/>
  <c r="G20" i="1"/>
  <c r="J19" i="1"/>
  <c r="K19" i="1" s="1"/>
  <c r="G19" i="1"/>
  <c r="DZ18" i="1"/>
  <c r="EA18" i="1" s="1"/>
  <c r="EC18" i="1" s="1"/>
  <c r="G18" i="1"/>
  <c r="G17" i="1"/>
  <c r="DZ16" i="1"/>
  <c r="G16" i="1"/>
  <c r="FW15" i="1"/>
  <c r="FV15" i="1"/>
  <c r="FT15" i="1"/>
  <c r="FS15" i="1"/>
  <c r="FR15" i="1"/>
  <c r="FQ15" i="1"/>
  <c r="FP15" i="1"/>
  <c r="FU15" i="1"/>
  <c r="FO15" i="1"/>
  <c r="G15" i="1"/>
  <c r="FW14" i="1"/>
  <c r="FV14" i="1"/>
  <c r="FT14" i="1"/>
  <c r="FS14" i="1"/>
  <c r="FR14" i="1"/>
  <c r="FQ14" i="1"/>
  <c r="FP14" i="1"/>
  <c r="FU14" i="1"/>
  <c r="FO14" i="1"/>
  <c r="G14" i="1"/>
  <c r="FW13" i="1"/>
  <c r="FV13" i="1"/>
  <c r="FT13" i="1"/>
  <c r="FS13" i="1"/>
  <c r="FR13" i="1"/>
  <c r="FQ13" i="1"/>
  <c r="FP13" i="1"/>
  <c r="FU13" i="1"/>
  <c r="G13" i="1"/>
  <c r="FW12" i="1"/>
  <c r="FV12" i="1"/>
  <c r="FT12" i="1"/>
  <c r="FS12" i="1"/>
  <c r="FR12" i="1"/>
  <c r="FQ12" i="1"/>
  <c r="FP12" i="1"/>
  <c r="FU12" i="1"/>
  <c r="G12" i="1"/>
  <c r="FW11" i="1"/>
  <c r="FV11" i="1"/>
  <c r="FT11" i="1"/>
  <c r="FS11" i="1"/>
  <c r="FR11" i="1"/>
  <c r="FQ11" i="1"/>
  <c r="FP11" i="1"/>
  <c r="FU11" i="1"/>
  <c r="FO11" i="1"/>
  <c r="G11" i="1"/>
  <c r="FW10" i="1"/>
  <c r="FV10" i="1"/>
  <c r="FT10" i="1"/>
  <c r="FS10" i="1"/>
  <c r="FR10" i="1"/>
  <c r="FQ10" i="1"/>
  <c r="FP10" i="1"/>
  <c r="FU10" i="1"/>
  <c r="G10" i="1"/>
  <c r="FW9" i="1"/>
  <c r="FV9" i="1"/>
  <c r="FT9" i="1"/>
  <c r="FS9" i="1"/>
  <c r="FR9" i="1"/>
  <c r="FQ9" i="1"/>
  <c r="FP9" i="1"/>
  <c r="FU9" i="1"/>
  <c r="FO9" i="1"/>
  <c r="G9" i="1"/>
  <c r="FW8" i="1"/>
  <c r="FV8" i="1"/>
  <c r="FT8" i="1"/>
  <c r="FS8" i="1"/>
  <c r="FR8" i="1"/>
  <c r="FQ8" i="1"/>
  <c r="FP8" i="1"/>
  <c r="FU8" i="1"/>
  <c r="FO8" i="1"/>
  <c r="G8" i="1"/>
  <c r="FV7" i="1"/>
  <c r="FT7" i="1"/>
  <c r="FS7" i="1"/>
  <c r="FR7" i="1"/>
  <c r="FQ7" i="1"/>
  <c r="FP7" i="1"/>
  <c r="FO7" i="1"/>
  <c r="FW7" i="1"/>
  <c r="FU7" i="1"/>
  <c r="G7" i="1"/>
  <c r="FV6" i="1"/>
  <c r="FT6" i="1"/>
  <c r="FS6" i="1"/>
  <c r="FR6" i="1"/>
  <c r="FQ6" i="1"/>
  <c r="FP6" i="1"/>
  <c r="FO6" i="1"/>
  <c r="FW6" i="1"/>
  <c r="FU6" i="1"/>
  <c r="G6" i="1"/>
  <c r="FV5" i="1"/>
  <c r="FT5" i="1"/>
  <c r="FS5" i="1"/>
  <c r="FR5" i="1"/>
  <c r="FQ5" i="1"/>
  <c r="FP5" i="1"/>
  <c r="FO5" i="1"/>
  <c r="FW5" i="1"/>
  <c r="FX5" i="1"/>
  <c r="DQ5" i="1"/>
  <c r="G5" i="1"/>
  <c r="FW4" i="1"/>
  <c r="FV4" i="1"/>
  <c r="FT4" i="1"/>
  <c r="FS4" i="1"/>
  <c r="FR4" i="1"/>
  <c r="FQ4" i="1"/>
  <c r="FP4" i="1"/>
  <c r="FO4" i="1"/>
  <c r="FX4" i="1"/>
  <c r="DQ4" i="1"/>
  <c r="G4" i="1"/>
  <c r="FW3" i="1"/>
  <c r="FV3" i="1"/>
  <c r="FT3" i="1"/>
  <c r="FS3" i="1"/>
  <c r="FR3" i="1"/>
  <c r="FQ3" i="1"/>
  <c r="FP3" i="1"/>
  <c r="FO3" i="1"/>
  <c r="FU3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W2" i="1"/>
  <c r="FV2" i="1"/>
  <c r="FT2" i="1"/>
  <c r="FS2" i="1"/>
  <c r="FR2" i="1"/>
  <c r="FQ2" i="1"/>
  <c r="FP2" i="1"/>
  <c r="FU2" i="1"/>
  <c r="DZ30" i="1" l="1"/>
  <c r="EA30" i="1" s="1"/>
  <c r="EC30" i="1" s="1"/>
  <c r="DZ31" i="1"/>
  <c r="EA31" i="1" s="1"/>
  <c r="EC31" i="1" s="1"/>
  <c r="J26" i="1"/>
  <c r="K26" i="1" s="1"/>
  <c r="DZ3" i="1"/>
  <c r="EA3" i="1" s="1"/>
  <c r="EC3" i="1" s="1"/>
  <c r="J42" i="1"/>
  <c r="K42" i="1" s="1"/>
  <c r="K47" i="1"/>
  <c r="J8" i="1"/>
  <c r="K8" i="1" s="1"/>
  <c r="J20" i="1"/>
  <c r="K20" i="1" s="1"/>
  <c r="J29" i="1"/>
  <c r="K29" i="1" s="1"/>
  <c r="FU4" i="1"/>
  <c r="J5" i="1"/>
  <c r="K5" i="1" s="1"/>
  <c r="DZ10" i="1"/>
  <c r="EA10" i="1" s="1"/>
  <c r="EC10" i="1" s="1"/>
  <c r="DZ12" i="1"/>
  <c r="EA12" i="1" s="1"/>
  <c r="K46" i="1"/>
  <c r="J15" i="1"/>
  <c r="K15" i="1" s="1"/>
  <c r="FX12" i="1"/>
  <c r="J14" i="1"/>
  <c r="K14" i="1" s="1"/>
  <c r="J18" i="1"/>
  <c r="K18" i="1" s="1"/>
  <c r="DZ29" i="1"/>
  <c r="EA29" i="1" s="1"/>
  <c r="EC29" i="1" s="1"/>
  <c r="EA2" i="1"/>
  <c r="EC2" i="1" s="1"/>
  <c r="FX15" i="1"/>
  <c r="J2" i="1"/>
  <c r="K2" i="1" s="1"/>
  <c r="J3" i="1"/>
  <c r="K3" i="1" s="1"/>
  <c r="FX3" i="1"/>
  <c r="DZ5" i="1"/>
  <c r="EA5" i="1" s="1"/>
  <c r="EC5" i="1" s="1"/>
  <c r="J13" i="1"/>
  <c r="K13" i="1" s="1"/>
  <c r="J25" i="1"/>
  <c r="K25" i="1" s="1"/>
  <c r="FX42" i="1"/>
  <c r="DZ11" i="1"/>
  <c r="EA11" i="1" s="1"/>
  <c r="EC11" i="1" s="1"/>
  <c r="DZ50" i="1"/>
  <c r="EA50" i="1" s="1"/>
  <c r="DZ8" i="1"/>
  <c r="EA8" i="1" s="1"/>
  <c r="EC8" i="1" s="1"/>
  <c r="J12" i="1"/>
  <c r="K12" i="1" s="1"/>
  <c r="J23" i="1"/>
  <c r="K23" i="1" s="1"/>
  <c r="FX14" i="1"/>
  <c r="DZ42" i="1"/>
  <c r="EA42" i="1" s="1"/>
  <c r="EC42" i="1" s="1"/>
  <c r="J50" i="1"/>
  <c r="K50" i="1" s="1"/>
  <c r="DZ51" i="1"/>
  <c r="EA51" i="1" s="1"/>
  <c r="EC51" i="1" s="1"/>
  <c r="FX8" i="1"/>
  <c r="DZ15" i="1"/>
  <c r="EA15" i="1" s="1"/>
  <c r="EC15" i="1" s="1"/>
  <c r="J51" i="1"/>
  <c r="K51" i="1" s="1"/>
  <c r="DZ24" i="1"/>
  <c r="EA24" i="1" s="1"/>
  <c r="EC24" i="1" s="1"/>
  <c r="J10" i="1"/>
  <c r="K10" i="1" s="1"/>
  <c r="DZ19" i="1"/>
  <c r="EA19" i="1" s="1"/>
  <c r="EC19" i="1" s="1"/>
  <c r="DZ21" i="1"/>
  <c r="EA21" i="1" s="1"/>
  <c r="EC21" i="1" s="1"/>
  <c r="DZ28" i="1"/>
  <c r="EA28" i="1" s="1"/>
  <c r="EC28" i="1" s="1"/>
  <c r="DZ49" i="1"/>
  <c r="EA49" i="1" s="1"/>
  <c r="FO12" i="1"/>
  <c r="J40" i="1"/>
  <c r="K40" i="1" s="1"/>
  <c r="FX6" i="1"/>
  <c r="J16" i="1"/>
  <c r="K16" i="1" s="1"/>
  <c r="J41" i="1"/>
  <c r="K41" i="1" s="1"/>
  <c r="DZ13" i="1"/>
  <c r="EA13" i="1" s="1"/>
  <c r="EC13" i="1" s="1"/>
  <c r="FX2" i="1"/>
  <c r="H3" i="1"/>
  <c r="I3" i="1" s="1"/>
  <c r="DZ4" i="1"/>
  <c r="J4" i="1"/>
  <c r="DZ6" i="1"/>
  <c r="J6" i="1"/>
  <c r="DZ9" i="1"/>
  <c r="J9" i="1"/>
  <c r="FU5" i="1"/>
  <c r="FO13" i="1"/>
  <c r="FX13" i="1"/>
  <c r="DZ7" i="1"/>
  <c r="J7" i="1"/>
  <c r="EA25" i="1"/>
  <c r="EC25" i="1" s="1"/>
  <c r="FX9" i="1"/>
  <c r="FX10" i="1"/>
  <c r="FO10" i="1"/>
  <c r="J11" i="1"/>
  <c r="FX11" i="1"/>
  <c r="FX7" i="1"/>
  <c r="EA16" i="1"/>
  <c r="EC16" i="1" s="1"/>
  <c r="EA23" i="1"/>
  <c r="EC23" i="1" s="1"/>
  <c r="DZ14" i="1"/>
  <c r="H20" i="1"/>
  <c r="I20" i="1" s="1"/>
  <c r="J22" i="1"/>
  <c r="DZ22" i="1"/>
  <c r="EA27" i="1"/>
  <c r="EC27" i="1" s="1"/>
  <c r="H38" i="1"/>
  <c r="I38" i="1" s="1"/>
  <c r="J17" i="1"/>
  <c r="DZ17" i="1"/>
  <c r="H18" i="1"/>
  <c r="I18" i="1" s="1"/>
  <c r="EA26" i="1"/>
  <c r="EC26" i="1" s="1"/>
  <c r="EA39" i="1"/>
  <c r="EC39" i="1" s="1"/>
  <c r="FQ40" i="1"/>
  <c r="FX40" i="1"/>
  <c r="J49" i="1"/>
  <c r="J27" i="1"/>
  <c r="H36" i="1"/>
  <c r="J33" i="1"/>
  <c r="J28" i="1"/>
  <c r="K30" i="1"/>
  <c r="K39" i="1"/>
  <c r="EA40" i="1"/>
  <c r="EC40" i="1" s="1"/>
  <c r="FD41" i="1"/>
  <c r="EA41" i="1"/>
  <c r="EC41" i="1" s="1"/>
  <c r="DZ44" i="1"/>
  <c r="J44" i="1"/>
  <c r="J31" i="1"/>
  <c r="H37" i="1"/>
  <c r="H35" i="1"/>
  <c r="I35" i="1" s="1"/>
  <c r="DZ43" i="1"/>
  <c r="J43" i="1"/>
  <c r="EA45" i="1"/>
  <c r="EC45" i="1" s="1"/>
  <c r="EA46" i="1"/>
  <c r="EC46" i="1" s="1"/>
  <c r="EA47" i="1"/>
  <c r="EC47" i="1" s="1"/>
  <c r="EA48" i="1"/>
  <c r="EC48" i="1" s="1"/>
  <c r="H19" i="1" l="1"/>
  <c r="I19" i="1" s="1"/>
  <c r="H42" i="1"/>
  <c r="I42" i="1" s="1"/>
  <c r="H49" i="1"/>
  <c r="I49" i="1" s="1"/>
  <c r="EC49" i="1"/>
  <c r="H12" i="1"/>
  <c r="I12" i="1" s="1"/>
  <c r="EC12" i="1"/>
  <c r="H50" i="1"/>
  <c r="I50" i="1" s="1"/>
  <c r="EC50" i="1"/>
  <c r="H8" i="1"/>
  <c r="I8" i="1" s="1"/>
  <c r="H10" i="1"/>
  <c r="I10" i="1" s="1"/>
  <c r="H29" i="1"/>
  <c r="I29" i="1" s="1"/>
  <c r="H24" i="1"/>
  <c r="EA43" i="1"/>
  <c r="EC43" i="1" s="1"/>
  <c r="H30" i="1"/>
  <c r="H45" i="1"/>
  <c r="EA22" i="1"/>
  <c r="EC22" i="1" s="1"/>
  <c r="EA7" i="1"/>
  <c r="EC7" i="1" s="1"/>
  <c r="H11" i="1"/>
  <c r="I11" i="1" s="1"/>
  <c r="H46" i="1"/>
  <c r="I46" i="1" s="1"/>
  <c r="K44" i="1"/>
  <c r="I36" i="1"/>
  <c r="H39" i="1"/>
  <c r="I39" i="1" s="1"/>
  <c r="H26" i="1"/>
  <c r="K22" i="1"/>
  <c r="H5" i="1"/>
  <c r="H15" i="1"/>
  <c r="K6" i="1"/>
  <c r="EA44" i="1"/>
  <c r="EC44" i="1" s="1"/>
  <c r="K28" i="1"/>
  <c r="EA6" i="1"/>
  <c r="EC6" i="1" s="1"/>
  <c r="H2" i="1"/>
  <c r="I2" i="1" s="1"/>
  <c r="H23" i="1"/>
  <c r="H40" i="1"/>
  <c r="H41" i="1"/>
  <c r="DZ34" i="1"/>
  <c r="J34" i="1"/>
  <c r="H21" i="1"/>
  <c r="H16" i="1"/>
  <c r="H48" i="1"/>
  <c r="I48" i="1" s="1"/>
  <c r="H51" i="1"/>
  <c r="K7" i="1"/>
  <c r="K31" i="1"/>
  <c r="FX41" i="1"/>
  <c r="FQ41" i="1"/>
  <c r="K33" i="1"/>
  <c r="J32" i="1"/>
  <c r="DZ32" i="1"/>
  <c r="K27" i="1"/>
  <c r="H31" i="1"/>
  <c r="I31" i="1" s="1"/>
  <c r="H27" i="1"/>
  <c r="I27" i="1" s="1"/>
  <c r="DZ33" i="1"/>
  <c r="K11" i="1"/>
  <c r="K9" i="1"/>
  <c r="I37" i="1"/>
  <c r="EA14" i="1"/>
  <c r="EC14" i="1" s="1"/>
  <c r="EA9" i="1"/>
  <c r="EC9" i="1" s="1"/>
  <c r="K4" i="1"/>
  <c r="H47" i="1"/>
  <c r="I47" i="1" s="1"/>
  <c r="K43" i="1"/>
  <c r="K49" i="1"/>
  <c r="H28" i="1"/>
  <c r="I28" i="1" s="1"/>
  <c r="EA17" i="1"/>
  <c r="EC17" i="1" s="1"/>
  <c r="H13" i="1"/>
  <c r="H25" i="1"/>
  <c r="EA4" i="1"/>
  <c r="EC4" i="1" s="1"/>
  <c r="K17" i="1"/>
  <c r="EB5" i="1" l="1"/>
  <c r="EB16" i="1"/>
  <c r="EB42" i="1"/>
  <c r="EB36" i="1"/>
  <c r="EB15" i="1"/>
  <c r="EB17" i="1"/>
  <c r="EB24" i="1"/>
  <c r="EB3" i="1"/>
  <c r="EB44" i="1"/>
  <c r="EB22" i="1"/>
  <c r="EB35" i="1"/>
  <c r="EB9" i="1"/>
  <c r="EB12" i="1"/>
  <c r="EB18" i="1"/>
  <c r="EB4" i="1"/>
  <c r="EB25" i="1"/>
  <c r="EB45" i="1"/>
  <c r="I24" i="1"/>
  <c r="EB20" i="1"/>
  <c r="EB2" i="1"/>
  <c r="EB23" i="1"/>
  <c r="EB43" i="1"/>
  <c r="EB26" i="1"/>
  <c r="EB50" i="1"/>
  <c r="EB14" i="1"/>
  <c r="I30" i="1"/>
  <c r="H9" i="1"/>
  <c r="I13" i="1"/>
  <c r="I16" i="1"/>
  <c r="I40" i="1"/>
  <c r="H44" i="1"/>
  <c r="EB41" i="1"/>
  <c r="K32" i="1"/>
  <c r="EB49" i="1"/>
  <c r="I15" i="1"/>
  <c r="EB29" i="1"/>
  <c r="H22" i="1"/>
  <c r="H43" i="1"/>
  <c r="H6" i="1"/>
  <c r="H14" i="1"/>
  <c r="I23" i="1"/>
  <c r="EB6" i="1"/>
  <c r="EB7" i="1"/>
  <c r="EB48" i="1"/>
  <c r="EB46" i="1"/>
  <c r="H17" i="1"/>
  <c r="EB31" i="1"/>
  <c r="EB47" i="1"/>
  <c r="EB39" i="1"/>
  <c r="EB11" i="1"/>
  <c r="I5" i="1"/>
  <c r="I26" i="1"/>
  <c r="EB51" i="1"/>
  <c r="I41" i="1"/>
  <c r="H7" i="1"/>
  <c r="EB33" i="1"/>
  <c r="EA33" i="1"/>
  <c r="EC33" i="1" s="1"/>
  <c r="I51" i="1"/>
  <c r="EB40" i="1"/>
  <c r="K34" i="1"/>
  <c r="EB38" i="1"/>
  <c r="EB28" i="1"/>
  <c r="EB37" i="1"/>
  <c r="I45" i="1"/>
  <c r="I21" i="1"/>
  <c r="H4" i="1"/>
  <c r="I25" i="1"/>
  <c r="EB19" i="1"/>
  <c r="EB21" i="1"/>
  <c r="EA32" i="1"/>
  <c r="EC32" i="1" s="1"/>
  <c r="EB32" i="1"/>
  <c r="EB27" i="1"/>
  <c r="EB30" i="1"/>
  <c r="EB34" i="1"/>
  <c r="EA34" i="1"/>
  <c r="EC34" i="1" s="1"/>
  <c r="EB10" i="1"/>
  <c r="EB13" i="1"/>
  <c r="EB8" i="1"/>
  <c r="I4" i="1" l="1"/>
  <c r="I6" i="1"/>
  <c r="I7" i="1"/>
  <c r="I43" i="1"/>
  <c r="H32" i="1"/>
  <c r="I44" i="1"/>
  <c r="I22" i="1"/>
  <c r="I9" i="1"/>
  <c r="H34" i="1"/>
  <c r="H33" i="1"/>
  <c r="I17" i="1"/>
  <c r="I14" i="1"/>
  <c r="I33" i="1" l="1"/>
  <c r="I34" i="1"/>
  <c r="I32" i="1"/>
</calcChain>
</file>

<file path=xl/sharedStrings.xml><?xml version="1.0" encoding="utf-8"?>
<sst xmlns="http://schemas.openxmlformats.org/spreadsheetml/2006/main" count="507" uniqueCount="273">
  <si>
    <t>NS Order</t>
  </si>
  <si>
    <t>RegionName</t>
  </si>
  <si>
    <t>Abbreviation</t>
  </si>
  <si>
    <t>CountyName</t>
  </si>
  <si>
    <t>Nourishment Analyses</t>
  </si>
  <si>
    <t>Depth_of_Closure</t>
  </si>
  <si>
    <t>2000_to_2020_Beach_Width_Change</t>
  </si>
  <si>
    <t>PSDS_Theoretical_Nourishment_Width_Added_00_20</t>
  </si>
  <si>
    <t>Efficiency_PSDSDATA_00_20</t>
  </si>
  <si>
    <t>PSDS_Number_Nourishments_00_20</t>
  </si>
  <si>
    <t>PSDS_Rotation_Interval_00_20</t>
  </si>
  <si>
    <t>Housing Analyses</t>
  </si>
  <si>
    <t>INF_Median_House_Val</t>
  </si>
  <si>
    <t>INF_Mean_House_Val</t>
  </si>
  <si>
    <t>Zillow Typical Home Values</t>
  </si>
  <si>
    <t>2000 Beach Data - Northern 08/08/2000 @ 15:30 - Southern 07/07/2000 @ 15:31</t>
  </si>
  <si>
    <t>Municipality_2000</t>
  </si>
  <si>
    <t>Muni_acronym_2000</t>
  </si>
  <si>
    <t>North_South_Order_2000</t>
  </si>
  <si>
    <t>Area_m2_2000</t>
  </si>
  <si>
    <t>Avg_Beach_Width_m_2000</t>
  </si>
  <si>
    <t>Alongshore_Length_m_2000</t>
  </si>
  <si>
    <t>2020 Beach Data - Northern 06/13/2020 @15:33, high tide was 4.4ft at 13:57 - Southern 07/22/2020 @15:40, Low tide was 0ft at 14:59</t>
  </si>
  <si>
    <t>Municipality_2020</t>
  </si>
  <si>
    <t>Muni_acronym_2020</t>
  </si>
  <si>
    <t>Area_m2_2020</t>
  </si>
  <si>
    <t>NS_Order_2020</t>
  </si>
  <si>
    <t>Avg_Beach_Width_m_2020</t>
  </si>
  <si>
    <t>Alongshore_Length_m_2020</t>
  </si>
  <si>
    <t>PSDS Nourishment Data</t>
  </si>
  <si>
    <t>PSDS 2000 Volumetric Fill (c/y)_ID1</t>
  </si>
  <si>
    <t>PSDS 2001 Volumetric Fill (c/y)_ID2</t>
  </si>
  <si>
    <t>PSDS_2002_Volumetric_Fill_(c/y)_ID3</t>
  </si>
  <si>
    <t>PSDS 2003 Volumetric Fill (c/y)_ID4</t>
  </si>
  <si>
    <t>PSDS 2004 Volumetric Fill (c/y)_ID5</t>
  </si>
  <si>
    <t>PSDS 2004 Volumetric Fill (c/y)_ID6</t>
  </si>
  <si>
    <t>PSDS 2005 Volumetric Fill (c/y)_D7</t>
  </si>
  <si>
    <t>PSDS 2005 Volumetric Fill (c/y)_ID8</t>
  </si>
  <si>
    <t>PSDS 2006 Volumetric Fill (c/y)_ID9</t>
  </si>
  <si>
    <t>PSDS 2007 Volumetric Fill (c/y)_ID10</t>
  </si>
  <si>
    <t>PSDS 2008 Volumetric Fill (c/y)_ID11</t>
  </si>
  <si>
    <t>PSDS 2009 Volumetric Fill (c/y)_ID12</t>
  </si>
  <si>
    <t>PSDS 2009 Volumetric Fill (c/y)_ID13</t>
  </si>
  <si>
    <t>PSDS 2009 Volumetric Fill (c/y)_ID14</t>
  </si>
  <si>
    <t>PSDS 2010 Volumetric Fill (c/y)_ID15</t>
  </si>
  <si>
    <t>PSDS 2011 Volumetric Fill (c/y)_ID16</t>
  </si>
  <si>
    <t>PSDS 2011 Volumetric Fill (c/y)_ID17</t>
  </si>
  <si>
    <t>PSDS 2012 Volumetric Fill (c/y)_ID18</t>
  </si>
  <si>
    <t>PSDS 2013 Volumetric Fill (c/y)_ID19</t>
  </si>
  <si>
    <t>PSDS 2013 Volumetric Fill (c/y)_ID20</t>
  </si>
  <si>
    <t>PSDS 2013 Volumetric Fill (c/y)_ID21</t>
  </si>
  <si>
    <t>PSDS 2014 Volumetric Fill (c/y)_ID22</t>
  </si>
  <si>
    <t>PSDS 2014 Volumetric Fill (c/y) (questionable)_ID23</t>
  </si>
  <si>
    <t>PSDS 2015 Volumetric Fill (c/y)_ID24</t>
  </si>
  <si>
    <t>PSDS 2016 Volumetric Fill (c/y)_ID25</t>
  </si>
  <si>
    <t>PSDS 2016 Volumetric Fill (c/y)_ID26</t>
  </si>
  <si>
    <t>PSDS 2017 Volumetric Fill (c/y)_ID27</t>
  </si>
  <si>
    <t>PSDS 2018 Volumetric Fill (c/y)_ID28</t>
  </si>
  <si>
    <t>PSDS 2018 Volumetric Fill (c/y)_ID29</t>
  </si>
  <si>
    <t>PSDS 2019 Volumetric Fill (c/y)_ID30</t>
  </si>
  <si>
    <t>PSDS 2020 Volumetric Fill (c/y)_ID31</t>
  </si>
  <si>
    <t>PSDS_2021_Volumetric_Fill_(c/y)_ID32</t>
  </si>
  <si>
    <t>PSDS 2022 Volumetric Fill (c/y)_ID33</t>
  </si>
  <si>
    <t>PSDS 2023 Volumetric Fill (c/y)_ID34</t>
  </si>
  <si>
    <t>total_sand_placed_00_20_cu_yd</t>
  </si>
  <si>
    <t>total_sand_placed_00_20_cu_m</t>
  </si>
  <si>
    <t>percent_share_of_nourishment</t>
  </si>
  <si>
    <t>PSDS_0020_Volume_Totals_per_m</t>
  </si>
  <si>
    <t>Individual Costs</t>
  </si>
  <si>
    <t>PSDS_2000_Cost_ID1</t>
  </si>
  <si>
    <t>PSDS_2001_Cost_ID2</t>
  </si>
  <si>
    <t>PSDS_2002_Cost_ID3</t>
  </si>
  <si>
    <t>PSDS_2003_Cost_ID4</t>
  </si>
  <si>
    <t>PSDS_2004_Cost_ID5</t>
  </si>
  <si>
    <t>PSDS_2004_Cost_ID6</t>
  </si>
  <si>
    <t>PSDS_2005_Cost_ID7</t>
  </si>
  <si>
    <t>PSDS_2005_Cost_ID8</t>
  </si>
  <si>
    <t>PSDS_2006_Cost_ID9</t>
  </si>
  <si>
    <t>PSDS_2007_Cost_ID10</t>
  </si>
  <si>
    <t>PSDS_2008_Cost_ID11</t>
  </si>
  <si>
    <t>PSDS_2009_Cost_ID12</t>
  </si>
  <si>
    <t>PSDS_2009_Cost_ID13</t>
  </si>
  <si>
    <t>PSDS_2009_Cost_ID14</t>
  </si>
  <si>
    <t>PSDS_2010_Cost_ID15</t>
  </si>
  <si>
    <t>PSDS_2011_Cost_ID16</t>
  </si>
  <si>
    <t>PSDS_2011_Cost_ID17</t>
  </si>
  <si>
    <t>PSDS_2012_Cost_ID18</t>
  </si>
  <si>
    <t>PSDS_2013_Cost_ID19</t>
  </si>
  <si>
    <t>PSDS_2013_Cost_ID20</t>
  </si>
  <si>
    <t>PSDS_2013_Cost_ID21</t>
  </si>
  <si>
    <t>PSDS_2014_CostID_22</t>
  </si>
  <si>
    <t>PSDS_2014_CostID_23</t>
  </si>
  <si>
    <t>PSDS_2015_Cost_ID24</t>
  </si>
  <si>
    <t>PSDS_2016_Cost_ID25</t>
  </si>
  <si>
    <t>PSDS_2016_Cost_ID26</t>
  </si>
  <si>
    <t>PSDS_2017_Cost_ID27</t>
  </si>
  <si>
    <t>PSDS_2018_Cost_ID28</t>
  </si>
  <si>
    <t>PSDS_2018_Cost_ID29</t>
  </si>
  <si>
    <t>PSDS_2019_Cost_ID30</t>
  </si>
  <si>
    <t>PSDS_2020_Cost_ID31</t>
  </si>
  <si>
    <t>PSDS_2021_Cost_ID32</t>
  </si>
  <si>
    <t>PSDS_2022_Cost_ID33</t>
  </si>
  <si>
    <t>PSDS_2023_Cost_ID34</t>
  </si>
  <si>
    <t>Combined Yearly Costs</t>
  </si>
  <si>
    <t>2014_Cost</t>
  </si>
  <si>
    <t>2015_Cost</t>
  </si>
  <si>
    <t>2016_Cost</t>
  </si>
  <si>
    <t>2017_Cost</t>
  </si>
  <si>
    <t>2018_Cost</t>
  </si>
  <si>
    <t>2019_Cost</t>
  </si>
  <si>
    <t>2020_Cost</t>
  </si>
  <si>
    <t>2021_Cost</t>
  </si>
  <si>
    <t>2022_Cost</t>
  </si>
  <si>
    <t>Total_Cost_00_20</t>
  </si>
  <si>
    <t>Sea Bright</t>
  </si>
  <si>
    <t>SB</t>
  </si>
  <si>
    <t>Monmouth County</t>
  </si>
  <si>
    <t>Monmouth Beach</t>
  </si>
  <si>
    <t>MB</t>
  </si>
  <si>
    <t>Long Branch</t>
  </si>
  <si>
    <t>LB</t>
  </si>
  <si>
    <t>Deal</t>
  </si>
  <si>
    <t>DL</t>
  </si>
  <si>
    <t>Allenhurst</t>
  </si>
  <si>
    <t>AH</t>
  </si>
  <si>
    <t>Loch Arbour</t>
  </si>
  <si>
    <t>LA</t>
  </si>
  <si>
    <t>Loch Arbor</t>
  </si>
  <si>
    <t>Asbury Park</t>
  </si>
  <si>
    <t>AP</t>
  </si>
  <si>
    <t>Neptune Township (Ocean Grove)</t>
  </si>
  <si>
    <t>OG</t>
  </si>
  <si>
    <t>Ocean Grove</t>
  </si>
  <si>
    <t>Bradley Beach</t>
  </si>
  <si>
    <t>BB</t>
  </si>
  <si>
    <t>Avon by the Sea</t>
  </si>
  <si>
    <t>AV</t>
  </si>
  <si>
    <t>Avon-By-The-Sea</t>
  </si>
  <si>
    <t>Belmar</t>
  </si>
  <si>
    <t>BM</t>
  </si>
  <si>
    <t>Spring Lake</t>
  </si>
  <si>
    <t>SL</t>
  </si>
  <si>
    <t>Sea Girt</t>
  </si>
  <si>
    <t>SG</t>
  </si>
  <si>
    <t>Manasquan</t>
  </si>
  <si>
    <t>MS</t>
  </si>
  <si>
    <t>Point Pleasant Beach</t>
  </si>
  <si>
    <t>PP</t>
  </si>
  <si>
    <t>Ocean County</t>
  </si>
  <si>
    <t>Point Pleasant</t>
  </si>
  <si>
    <t>Bay Head</t>
  </si>
  <si>
    <t>BH</t>
  </si>
  <si>
    <t>Bayhead</t>
  </si>
  <si>
    <t>Mantoloking</t>
  </si>
  <si>
    <t>ML</t>
  </si>
  <si>
    <t>Brick (Normany)</t>
  </si>
  <si>
    <t>BR</t>
  </si>
  <si>
    <t>Brick</t>
  </si>
  <si>
    <t>Toms River (Dover Beaches)</t>
  </si>
  <si>
    <t>TR</t>
  </si>
  <si>
    <t>Dover Beach (TR)</t>
  </si>
  <si>
    <t>DB</t>
  </si>
  <si>
    <t>Toms River (Dover Beach)</t>
  </si>
  <si>
    <t>Lavallette</t>
  </si>
  <si>
    <t>LV</t>
  </si>
  <si>
    <t>Lavalette</t>
  </si>
  <si>
    <t>Toms River (Ortley Beach)</t>
  </si>
  <si>
    <t>OB</t>
  </si>
  <si>
    <t>Ortley Beach (Toms River)</t>
  </si>
  <si>
    <t>Seaside Heights</t>
  </si>
  <si>
    <t>SH</t>
  </si>
  <si>
    <t>Seaside Park</t>
  </si>
  <si>
    <t>SP</t>
  </si>
  <si>
    <t>Island Beach State Park (Berkley)</t>
  </si>
  <si>
    <t>IBSP</t>
  </si>
  <si>
    <t>Island Beach State Park</t>
  </si>
  <si>
    <t>Barnegat Light</t>
  </si>
  <si>
    <t>BL</t>
  </si>
  <si>
    <t>Loveladies (Long Beach)</t>
  </si>
  <si>
    <t>LL</t>
  </si>
  <si>
    <t>Harvey Cedars</t>
  </si>
  <si>
    <t>HC</t>
  </si>
  <si>
    <t>North Beach (Long Beach)</t>
  </si>
  <si>
    <t>NB</t>
  </si>
  <si>
    <t>Surf City</t>
  </si>
  <si>
    <t>SC</t>
  </si>
  <si>
    <t>Ship Bottom</t>
  </si>
  <si>
    <t>Long Beach Township</t>
  </si>
  <si>
    <t>Long Beach</t>
  </si>
  <si>
    <t>Beach Haven</t>
  </si>
  <si>
    <t>BV</t>
  </si>
  <si>
    <t>Holgate (Long Beach TWP)</t>
  </si>
  <si>
    <t>HG</t>
  </si>
  <si>
    <t>Holgate (Long Beach Township)</t>
  </si>
  <si>
    <t>Brigantine</t>
  </si>
  <si>
    <t>BG</t>
  </si>
  <si>
    <t>Atlantic County</t>
  </si>
  <si>
    <t>Atlantic City</t>
  </si>
  <si>
    <t>AC</t>
  </si>
  <si>
    <t>Ventnor City</t>
  </si>
  <si>
    <t>VC</t>
  </si>
  <si>
    <t>Margate City</t>
  </si>
  <si>
    <t>MC</t>
  </si>
  <si>
    <t>Longport</t>
  </si>
  <si>
    <t>LP</t>
  </si>
  <si>
    <t>Ocean City</t>
  </si>
  <si>
    <t>OC</t>
  </si>
  <si>
    <t>Cape May County</t>
  </si>
  <si>
    <t>Cape May</t>
  </si>
  <si>
    <t>Strathmere (Upper Township)</t>
  </si>
  <si>
    <t>SM</t>
  </si>
  <si>
    <t>Strathmere</t>
  </si>
  <si>
    <t>Sea Isle City</t>
  </si>
  <si>
    <t>SIC</t>
  </si>
  <si>
    <t>SI</t>
  </si>
  <si>
    <t>Avalon</t>
  </si>
  <si>
    <t>AVL</t>
  </si>
  <si>
    <t>AL</t>
  </si>
  <si>
    <t>Stone Harbor</t>
  </si>
  <si>
    <t>North Wildwood</t>
  </si>
  <si>
    <t>NW</t>
  </si>
  <si>
    <t>Wildwood</t>
  </si>
  <si>
    <t>WW</t>
  </si>
  <si>
    <t>Wildwood Crest</t>
  </si>
  <si>
    <t>WC</t>
  </si>
  <si>
    <t>Lower Township</t>
  </si>
  <si>
    <t>LTX</t>
  </si>
  <si>
    <t>Lower Township X</t>
  </si>
  <si>
    <t>CM</t>
  </si>
  <si>
    <t>Cape May Point</t>
  </si>
  <si>
    <t>CP</t>
  </si>
  <si>
    <t>INF_Rate_2000</t>
  </si>
  <si>
    <t>INF_Rate_2001</t>
  </si>
  <si>
    <t>INF_Rate_2002</t>
  </si>
  <si>
    <t>INF_Rate_2003</t>
  </si>
  <si>
    <t>INF_Rate_2004</t>
  </si>
  <si>
    <t>INF_Rate_2005</t>
  </si>
  <si>
    <t>INF_Rate_2006</t>
  </si>
  <si>
    <t>INF_Rate_2007</t>
  </si>
  <si>
    <t>INF_Rate_2008</t>
  </si>
  <si>
    <t>INF_Rate_2009</t>
  </si>
  <si>
    <t>INF_Rate_2010</t>
  </si>
  <si>
    <t>INF_Rate_2011</t>
  </si>
  <si>
    <t>INF_Rate_2012</t>
  </si>
  <si>
    <t>INF_Rate_2013</t>
  </si>
  <si>
    <t>INF_Rate_2014</t>
  </si>
  <si>
    <t>INF_Rate_2015</t>
  </si>
  <si>
    <t>INF_Rate_2016</t>
  </si>
  <si>
    <t>INF_Rate_2017</t>
  </si>
  <si>
    <t>INF_Rate_2018</t>
  </si>
  <si>
    <t>INF_Rate_2019</t>
  </si>
  <si>
    <t>INF_Rate_2020</t>
  </si>
  <si>
    <t>INF_Prop_2000</t>
  </si>
  <si>
    <t>INF_Prop_2001</t>
  </si>
  <si>
    <t>INF_Prop_2002</t>
  </si>
  <si>
    <t>INF_Prop_2003</t>
  </si>
  <si>
    <t>INF_Prop_2004</t>
  </si>
  <si>
    <t>INF_Prop_2005</t>
  </si>
  <si>
    <t>INF_Prop_2006</t>
  </si>
  <si>
    <t>INF_Prop_2007</t>
  </si>
  <si>
    <t>INF_Prop_2008</t>
  </si>
  <si>
    <t>INF_Prop_2009</t>
  </si>
  <si>
    <t>INF_Prop_2010</t>
  </si>
  <si>
    <t>INF_Prop_2011</t>
  </si>
  <si>
    <t>INF_Prop_2012</t>
  </si>
  <si>
    <t>INF_Prop_2013</t>
  </si>
  <si>
    <t>INF_Prop_2014</t>
  </si>
  <si>
    <t>INF_Prop_2015</t>
  </si>
  <si>
    <t>INF_Prop_2016</t>
  </si>
  <si>
    <t>INF_Prop_2017</t>
  </si>
  <si>
    <t>INF_Prop_2018</t>
  </si>
  <si>
    <t>INF_Prop_2019</t>
  </si>
  <si>
    <t>INF_Prop_2020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</si>
</sst>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Dashed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textRotation="90" wrapText="1"/>
    </xf>
    <xf numFmtId="0" fontId="3" fillId="4" borderId="0" xfId="0" applyFont="1" applyFill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2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6" fillId="0" borderId="0" xfId="2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3">
    <cellStyle name="Calculation" xfId="1" builtinId="22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2"/>
  <sheetViews>
    <sheetView tabSelected="1" workbookViewId="0">
      <selection activeCell="M1" sqref="M1"/>
    </sheetView>
  </sheetViews>
  <sheetFormatPr defaultColWidth="9.109375" defaultRowHeight="14.4" x14ac:dyDescent="0.3"/>
  <cols>
    <col min="1" max="1" width="5.44140625" style="13" customWidth="1"/>
    <col min="2" max="2" width="18.6640625" style="13" bestFit="1" customWidth="1"/>
    <col min="3" max="3" width="4.5546875" style="13" customWidth="1"/>
    <col min="4" max="4" width="8.88671875" style="13" customWidth="1"/>
    <col min="5" max="5" width="9.109375" style="13"/>
    <col min="6" max="6" width="5.44140625" style="13" customWidth="1"/>
    <col min="7" max="13" width="9.109375" style="13"/>
    <col min="14" max="14" width="10.5546875" style="13" bestFit="1" customWidth="1"/>
    <col min="15" max="15" width="9.109375" style="11"/>
    <col min="16" max="36" width="11.33203125" style="13" customWidth="1"/>
    <col min="37" max="37" width="9.109375" style="11"/>
    <col min="38" max="58" width="11.33203125" style="13" customWidth="1"/>
    <col min="59" max="59" width="9.109375" style="11"/>
    <col min="60" max="80" width="11.33203125" style="13" customWidth="1"/>
    <col min="81" max="81" width="9.109375" style="12"/>
    <col min="82" max="87" width="9.109375" style="13"/>
    <col min="88" max="88" width="9.109375" style="11"/>
    <col min="89" max="89" width="14.5546875" style="13" customWidth="1"/>
    <col min="90" max="92" width="9.109375" style="13"/>
    <col min="93" max="93" width="7.33203125" style="13" customWidth="1"/>
    <col min="94" max="94" width="9.109375" style="13"/>
    <col min="95" max="95" width="9.109375" style="11"/>
    <col min="96" max="129" width="12.77734375" style="13" customWidth="1"/>
    <col min="130" max="133" width="9.109375" style="13"/>
    <col min="134" max="134" width="5.33203125" style="12" customWidth="1"/>
    <col min="135" max="169" width="10.5546875" style="13" customWidth="1"/>
    <col min="170" max="170" width="5.33203125" style="12" customWidth="1"/>
    <col min="171" max="180" width="8.44140625" style="13" customWidth="1"/>
    <col min="181" max="16384" width="9.109375" style="13"/>
  </cols>
  <sheetData>
    <row r="1" spans="1:180" s="2" customFormat="1" ht="196.8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4" t="s">
        <v>14</v>
      </c>
      <c r="P1" s="3">
        <v>36738</v>
      </c>
      <c r="Q1" s="3">
        <v>37103</v>
      </c>
      <c r="R1" s="3">
        <v>37468</v>
      </c>
      <c r="S1" s="3">
        <v>37833</v>
      </c>
      <c r="T1" s="3">
        <v>38199</v>
      </c>
      <c r="U1" s="3">
        <v>38564</v>
      </c>
      <c r="V1" s="3">
        <v>38929</v>
      </c>
      <c r="W1" s="3">
        <v>39294</v>
      </c>
      <c r="X1" s="3">
        <v>39660</v>
      </c>
      <c r="Y1" s="3">
        <v>40025</v>
      </c>
      <c r="Z1" s="3">
        <v>40390</v>
      </c>
      <c r="AA1" s="3">
        <v>40755</v>
      </c>
      <c r="AB1" s="3">
        <v>41121</v>
      </c>
      <c r="AC1" s="3">
        <v>41486</v>
      </c>
      <c r="AD1" s="3">
        <v>41851</v>
      </c>
      <c r="AE1" s="3">
        <v>42216</v>
      </c>
      <c r="AF1" s="3">
        <v>42582</v>
      </c>
      <c r="AG1" s="3">
        <v>42947</v>
      </c>
      <c r="AH1" s="3">
        <v>43312</v>
      </c>
      <c r="AI1" s="3">
        <v>43677</v>
      </c>
      <c r="AJ1" s="3">
        <v>44043</v>
      </c>
      <c r="AK1" s="4"/>
      <c r="AL1" s="3" t="s">
        <v>231</v>
      </c>
      <c r="AM1" s="3" t="s">
        <v>232</v>
      </c>
      <c r="AN1" s="3" t="s">
        <v>233</v>
      </c>
      <c r="AO1" s="3" t="s">
        <v>234</v>
      </c>
      <c r="AP1" s="3" t="s">
        <v>235</v>
      </c>
      <c r="AQ1" s="3" t="s">
        <v>236</v>
      </c>
      <c r="AR1" s="3" t="s">
        <v>237</v>
      </c>
      <c r="AS1" s="3" t="s">
        <v>238</v>
      </c>
      <c r="AT1" s="3" t="s">
        <v>239</v>
      </c>
      <c r="AU1" s="3" t="s">
        <v>240</v>
      </c>
      <c r="AV1" s="3" t="s">
        <v>241</v>
      </c>
      <c r="AW1" s="3" t="s">
        <v>242</v>
      </c>
      <c r="AX1" s="3" t="s">
        <v>243</v>
      </c>
      <c r="AY1" s="3" t="s">
        <v>244</v>
      </c>
      <c r="AZ1" s="3" t="s">
        <v>245</v>
      </c>
      <c r="BA1" s="3" t="s">
        <v>246</v>
      </c>
      <c r="BB1" s="3" t="s">
        <v>247</v>
      </c>
      <c r="BC1" s="3" t="s">
        <v>248</v>
      </c>
      <c r="BD1" s="3" t="s">
        <v>249</v>
      </c>
      <c r="BE1" s="3" t="s">
        <v>250</v>
      </c>
      <c r="BF1" s="3" t="s">
        <v>251</v>
      </c>
      <c r="BG1" s="4"/>
      <c r="BH1" s="3" t="s">
        <v>252</v>
      </c>
      <c r="BI1" s="3" t="s">
        <v>253</v>
      </c>
      <c r="BJ1" s="3" t="s">
        <v>254</v>
      </c>
      <c r="BK1" s="3" t="s">
        <v>255</v>
      </c>
      <c r="BL1" s="3" t="s">
        <v>256</v>
      </c>
      <c r="BM1" s="3" t="s">
        <v>257</v>
      </c>
      <c r="BN1" s="3" t="s">
        <v>258</v>
      </c>
      <c r="BO1" s="3" t="s">
        <v>259</v>
      </c>
      <c r="BP1" s="3" t="s">
        <v>260</v>
      </c>
      <c r="BQ1" s="3" t="s">
        <v>261</v>
      </c>
      <c r="BR1" s="3" t="s">
        <v>262</v>
      </c>
      <c r="BS1" s="3" t="s">
        <v>263</v>
      </c>
      <c r="BT1" s="3" t="s">
        <v>264</v>
      </c>
      <c r="BU1" s="3" t="s">
        <v>265</v>
      </c>
      <c r="BV1" s="3" t="s">
        <v>266</v>
      </c>
      <c r="BW1" s="3" t="s">
        <v>267</v>
      </c>
      <c r="BX1" s="3" t="s">
        <v>268</v>
      </c>
      <c r="BY1" s="3" t="s">
        <v>269</v>
      </c>
      <c r="BZ1" s="3" t="s">
        <v>270</v>
      </c>
      <c r="CA1" s="3" t="s">
        <v>271</v>
      </c>
      <c r="CB1" s="3" t="s">
        <v>272</v>
      </c>
      <c r="CC1" s="5" t="s">
        <v>15</v>
      </c>
      <c r="CD1" s="6" t="s">
        <v>16</v>
      </c>
      <c r="CE1" s="6" t="s">
        <v>17</v>
      </c>
      <c r="CF1" s="6" t="s">
        <v>18</v>
      </c>
      <c r="CG1" s="6" t="s">
        <v>19</v>
      </c>
      <c r="CH1" s="6" t="s">
        <v>20</v>
      </c>
      <c r="CI1" s="6" t="s">
        <v>21</v>
      </c>
      <c r="CJ1" s="4" t="s">
        <v>22</v>
      </c>
      <c r="CK1" s="6" t="s">
        <v>23</v>
      </c>
      <c r="CL1" s="6" t="s">
        <v>24</v>
      </c>
      <c r="CM1" s="6" t="s">
        <v>25</v>
      </c>
      <c r="CN1" s="6" t="s">
        <v>26</v>
      </c>
      <c r="CO1" s="6" t="s">
        <v>27</v>
      </c>
      <c r="CP1" s="6" t="s">
        <v>28</v>
      </c>
      <c r="CQ1" s="4" t="s">
        <v>29</v>
      </c>
      <c r="CR1" s="2" t="s">
        <v>30</v>
      </c>
      <c r="CS1" s="2" t="s">
        <v>31</v>
      </c>
      <c r="CT1" s="2" t="s">
        <v>32</v>
      </c>
      <c r="CU1" s="2" t="s">
        <v>33</v>
      </c>
      <c r="CV1" s="2" t="s">
        <v>34</v>
      </c>
      <c r="CW1" s="2" t="s">
        <v>35</v>
      </c>
      <c r="CX1" s="2" t="s">
        <v>36</v>
      </c>
      <c r="CY1" s="2" t="s">
        <v>37</v>
      </c>
      <c r="CZ1" s="2" t="s">
        <v>38</v>
      </c>
      <c r="DA1" s="2" t="s">
        <v>39</v>
      </c>
      <c r="DB1" s="2" t="s">
        <v>40</v>
      </c>
      <c r="DC1" s="2" t="s">
        <v>41</v>
      </c>
      <c r="DD1" s="2" t="s">
        <v>42</v>
      </c>
      <c r="DE1" s="2" t="s">
        <v>43</v>
      </c>
      <c r="DF1" s="2" t="s">
        <v>44</v>
      </c>
      <c r="DG1" s="2" t="s">
        <v>45</v>
      </c>
      <c r="DH1" s="2" t="s">
        <v>46</v>
      </c>
      <c r="DI1" s="2" t="s">
        <v>47</v>
      </c>
      <c r="DJ1" s="2" t="s">
        <v>48</v>
      </c>
      <c r="DK1" s="2" t="s">
        <v>49</v>
      </c>
      <c r="DL1" s="2" t="s">
        <v>50</v>
      </c>
      <c r="DM1" s="2" t="s">
        <v>51</v>
      </c>
      <c r="DN1" s="2" t="s">
        <v>52</v>
      </c>
      <c r="DO1" s="2" t="s">
        <v>53</v>
      </c>
      <c r="DP1" s="2" t="s">
        <v>54</v>
      </c>
      <c r="DQ1" s="2" t="s">
        <v>55</v>
      </c>
      <c r="DR1" s="2" t="s">
        <v>56</v>
      </c>
      <c r="DS1" s="2" t="s">
        <v>57</v>
      </c>
      <c r="DT1" s="2" t="s">
        <v>58</v>
      </c>
      <c r="DU1" s="2" t="s">
        <v>59</v>
      </c>
      <c r="DV1" s="2" t="s">
        <v>60</v>
      </c>
      <c r="DW1" s="2" t="s">
        <v>61</v>
      </c>
      <c r="DX1" s="2" t="s">
        <v>62</v>
      </c>
      <c r="DY1" s="2" t="s">
        <v>63</v>
      </c>
      <c r="DZ1" s="7" t="s">
        <v>64</v>
      </c>
      <c r="EA1" s="7" t="s">
        <v>65</v>
      </c>
      <c r="EB1" s="7" t="s">
        <v>66</v>
      </c>
      <c r="EC1" s="7" t="s">
        <v>67</v>
      </c>
      <c r="ED1" s="5" t="s">
        <v>68</v>
      </c>
      <c r="EE1" s="2" t="s">
        <v>69</v>
      </c>
      <c r="EF1" s="2" t="s">
        <v>70</v>
      </c>
      <c r="EG1" s="2" t="s">
        <v>71</v>
      </c>
      <c r="EH1" s="2" t="s">
        <v>72</v>
      </c>
      <c r="EI1" s="2" t="s">
        <v>73</v>
      </c>
      <c r="EJ1" s="2" t="s">
        <v>74</v>
      </c>
      <c r="EK1" s="2" t="s">
        <v>75</v>
      </c>
      <c r="EL1" s="2" t="s">
        <v>76</v>
      </c>
      <c r="EM1" s="2" t="s">
        <v>77</v>
      </c>
      <c r="EN1" s="2" t="s">
        <v>78</v>
      </c>
      <c r="EO1" s="2" t="s">
        <v>79</v>
      </c>
      <c r="EP1" s="2" t="s">
        <v>80</v>
      </c>
      <c r="EQ1" s="2" t="s">
        <v>81</v>
      </c>
      <c r="ER1" s="2" t="s">
        <v>82</v>
      </c>
      <c r="ES1" s="2" t="s">
        <v>83</v>
      </c>
      <c r="ET1" s="2" t="s">
        <v>84</v>
      </c>
      <c r="EU1" s="2" t="s">
        <v>85</v>
      </c>
      <c r="EV1" s="2" t="s">
        <v>85</v>
      </c>
      <c r="EW1" s="2" t="s">
        <v>86</v>
      </c>
      <c r="EX1" s="2" t="s">
        <v>87</v>
      </c>
      <c r="EY1" s="2" t="s">
        <v>88</v>
      </c>
      <c r="EZ1" s="2" t="s">
        <v>89</v>
      </c>
      <c r="FA1" s="2" t="s">
        <v>90</v>
      </c>
      <c r="FB1" s="2" t="s">
        <v>91</v>
      </c>
      <c r="FC1" s="2" t="s">
        <v>92</v>
      </c>
      <c r="FD1" s="2" t="s">
        <v>93</v>
      </c>
      <c r="FE1" s="2" t="s">
        <v>94</v>
      </c>
      <c r="FF1" s="2" t="s">
        <v>95</v>
      </c>
      <c r="FG1" s="2" t="s">
        <v>96</v>
      </c>
      <c r="FH1" s="2" t="s">
        <v>97</v>
      </c>
      <c r="FI1" s="2" t="s">
        <v>98</v>
      </c>
      <c r="FJ1" s="2" t="s">
        <v>99</v>
      </c>
      <c r="FK1" s="2" t="s">
        <v>100</v>
      </c>
      <c r="FL1" s="2" t="s">
        <v>101</v>
      </c>
      <c r="FM1" s="2" t="s">
        <v>102</v>
      </c>
      <c r="FN1" s="5" t="s">
        <v>103</v>
      </c>
      <c r="FO1" s="2" t="s">
        <v>104</v>
      </c>
      <c r="FP1" s="2" t="s">
        <v>105</v>
      </c>
      <c r="FQ1" s="2" t="s">
        <v>106</v>
      </c>
      <c r="FR1" s="2" t="s">
        <v>107</v>
      </c>
      <c r="FS1" s="2" t="s">
        <v>108</v>
      </c>
      <c r="FT1" s="2" t="s">
        <v>109</v>
      </c>
      <c r="FU1" s="2" t="s">
        <v>110</v>
      </c>
      <c r="FV1" s="2" t="s">
        <v>111</v>
      </c>
      <c r="FW1" s="2" t="s">
        <v>112</v>
      </c>
      <c r="FX1" s="2" t="s">
        <v>113</v>
      </c>
    </row>
    <row r="2" spans="1:180" s="8" customFormat="1" x14ac:dyDescent="0.3">
      <c r="A2" s="8">
        <v>1</v>
      </c>
      <c r="B2" s="8" t="s">
        <v>114</v>
      </c>
      <c r="C2" s="8" t="s">
        <v>115</v>
      </c>
      <c r="D2" s="8" t="s">
        <v>116</v>
      </c>
      <c r="F2" s="8">
        <v>10</v>
      </c>
      <c r="G2" s="9">
        <f t="shared" ref="G2:G33" si="0">CO2-CH2</f>
        <v>-5.0333239513104928</v>
      </c>
      <c r="H2" s="8">
        <f>(2*EA2)/$F2/$CI2</f>
        <v>130.36319434637471</v>
      </c>
      <c r="I2" s="8">
        <f>IF(AND(H2=0,G2&gt;0),1,IF(AND(H2=0,G2&lt;=0),"NaN",G2/H2))</f>
        <v>-3.8610007805860928E-2</v>
      </c>
      <c r="J2" s="8">
        <f t="shared" ref="J2:J51" si="1">COUNT(CR2:DV2)</f>
        <v>4</v>
      </c>
      <c r="K2" s="8">
        <f>IF(J2=0,"NaN",20/J2)</f>
        <v>5</v>
      </c>
      <c r="M2" s="10">
        <f>IF(SUM(BH2:CB2)=0,"NaN",MEDIAN(BH2:CB2))</f>
        <v>544534.73606101121</v>
      </c>
      <c r="N2" s="10">
        <f>IF(SUM(BH2:CB2)=0,"NaN",AVERAGE(BH2:CB2))</f>
        <v>542451.43390513607</v>
      </c>
      <c r="O2" s="11"/>
      <c r="P2" s="10">
        <v>228801.21858717501</v>
      </c>
      <c r="Q2" s="10">
        <v>280428.51545453502</v>
      </c>
      <c r="R2" s="10">
        <v>323761.77545074502</v>
      </c>
      <c r="S2" s="10">
        <v>400262.82146768598</v>
      </c>
      <c r="T2" s="10">
        <v>461575.49858155602</v>
      </c>
      <c r="U2" s="10">
        <v>555279.82920655597</v>
      </c>
      <c r="V2" s="10">
        <v>611809.70313565899</v>
      </c>
      <c r="W2" s="10">
        <v>582832.43525294599</v>
      </c>
      <c r="X2" s="10">
        <v>551857.92126612598</v>
      </c>
      <c r="Y2" s="10">
        <v>522588.54784927698</v>
      </c>
      <c r="Z2" s="10">
        <v>505739.90969181102</v>
      </c>
      <c r="AA2" s="10">
        <v>493661.19621207699</v>
      </c>
      <c r="AB2" s="10">
        <v>456395.93834361801</v>
      </c>
      <c r="AC2" s="10">
        <v>442361.26518570201</v>
      </c>
      <c r="AD2" s="10">
        <v>425561.51102366502</v>
      </c>
      <c r="AE2" s="10">
        <v>429516.48760621098</v>
      </c>
      <c r="AF2" s="10">
        <v>452847.34472695098</v>
      </c>
      <c r="AG2" s="10">
        <v>498676.86314527201</v>
      </c>
      <c r="AH2" s="10">
        <v>526799.21184275905</v>
      </c>
      <c r="AI2" s="10">
        <v>538354.67364760803</v>
      </c>
      <c r="AJ2" s="10">
        <v>568581.81131877203</v>
      </c>
      <c r="AK2" s="11"/>
      <c r="AL2" s="22">
        <v>3.2888721496165063E-2</v>
      </c>
      <c r="AM2" s="22">
        <v>2.8843039908195367E-2</v>
      </c>
      <c r="AN2" s="22">
        <v>2.3508826348185297E-2</v>
      </c>
      <c r="AO2" s="22">
        <v>1.727558717854083E-2</v>
      </c>
      <c r="AP2" s="22">
        <v>9.7904355801925469E-3</v>
      </c>
      <c r="AQ2" s="22">
        <v>1.8178580442596015E-3</v>
      </c>
      <c r="AR2" s="22">
        <v>-3.3449229627590116E-3</v>
      </c>
      <c r="AS2" s="22">
        <v>-1.1079319634054174E-3</v>
      </c>
      <c r="AT2" s="22">
        <v>4.8934098997499564E-3</v>
      </c>
      <c r="AU2" s="22">
        <v>1.5235248091937992E-2</v>
      </c>
      <c r="AV2" s="22">
        <v>1.6126764918219072E-2</v>
      </c>
      <c r="AW2" s="22">
        <v>2.1540722483505803E-2</v>
      </c>
      <c r="AX2" s="22">
        <v>2.7613026747848268E-2</v>
      </c>
      <c r="AY2" s="22">
        <v>2.6978579088403398E-2</v>
      </c>
      <c r="AZ2" s="22">
        <v>2.5079662791946955E-2</v>
      </c>
      <c r="BA2" s="22">
        <v>2.5870185947085789E-2</v>
      </c>
      <c r="BB2" s="22">
        <v>2.6893536703573639E-2</v>
      </c>
      <c r="BC2" s="22">
        <v>2.3026535336124088E-2</v>
      </c>
      <c r="BD2" s="22">
        <v>1.6693942729572031E-2</v>
      </c>
      <c r="BE2" s="22">
        <v>2.2786008601595631E-2</v>
      </c>
      <c r="BF2" s="22">
        <v>0</v>
      </c>
      <c r="BG2" s="11"/>
      <c r="BH2" s="10">
        <f>IF(P2=0,"NaN",P2*(1+AL2)^20)</f>
        <v>437047.89983603318</v>
      </c>
      <c r="BI2" s="10">
        <f>IF(Q2=0,"NaN",Q2*(1+AM2)^19)</f>
        <v>481343.96121527266</v>
      </c>
      <c r="BJ2" s="10">
        <f>IF(R2=0,"NaN",R2*(1+AN2)^18)</f>
        <v>491897.0665738777</v>
      </c>
      <c r="BK2" s="10">
        <f>IF(S2=0,"NaN",S2*(1+AO2)^17)</f>
        <v>535552.22979510599</v>
      </c>
      <c r="BL2" s="10">
        <f>IF(T2=0,"NaN",T2*(1+AP2)^16)</f>
        <v>539439.56134065182</v>
      </c>
      <c r="BM2" s="10">
        <f>IF(U2=0,"NaN",U2*(1+AQ2)^15)</f>
        <v>570615.32696214749</v>
      </c>
      <c r="BN2" s="10">
        <f>IF(V2=0,"NaN",V2*(1+AR2)^14)</f>
        <v>583773.97303465439</v>
      </c>
      <c r="BO2" s="10">
        <f>IF(W2=0,"NaN",W2*(1+AS2)^13)</f>
        <v>574493.41017788975</v>
      </c>
      <c r="BP2" s="10">
        <f>IF(X2=0,"NaN",X2*(1+AT2)^12)</f>
        <v>585150.06585051666</v>
      </c>
      <c r="BQ2" s="10">
        <f>IF(Y2=0,"NaN",Y2*(1+AU2)^11)</f>
        <v>617153.86435670685</v>
      </c>
      <c r="BR2" s="10">
        <f>IF(Z2=0,"NaN",Z2*(1+AV2)^10)</f>
        <v>593480.06500070903</v>
      </c>
      <c r="BS2" s="10">
        <f>IF(AA2=0,"NaN",AA2*(1+AW2)^9)</f>
        <v>598039.88137875928</v>
      </c>
      <c r="BT2" s="10">
        <f>IF(AB2=0,"NaN",AB2*(1+AX2)^8)</f>
        <v>567516.6129967639</v>
      </c>
      <c r="BU2" s="10">
        <f>IF(AC2=0,"NaN",AC2*(1+AY2)^7)</f>
        <v>532974.93730633985</v>
      </c>
      <c r="BV2" s="10">
        <f>IF(AD2=0,"NaN",AD2*(1+AZ2)^6)</f>
        <v>493751.06615651085</v>
      </c>
      <c r="BW2" s="10">
        <f>IF(AE2=0,"NaN",AE2*(1+BA2)^5)</f>
        <v>488024.7882820791</v>
      </c>
      <c r="BX2" s="10">
        <f>IF(AF2=0,"NaN",AF2*(1+BB2)^4)</f>
        <v>503562.64636123501</v>
      </c>
      <c r="BY2" s="10">
        <f>IF(AG2=0,"NaN",AG2*(1+BC2)^3)</f>
        <v>533924.58013077092</v>
      </c>
      <c r="BZ2" s="10">
        <f>IF(AH2=0,"NaN",AH2*(1+BD2)^2)</f>
        <v>544534.73606101121</v>
      </c>
      <c r="CA2" s="10">
        <f>IF(AI2=0,"NaN",AI2*(1+BE2)^1)</f>
        <v>550621.62787205167</v>
      </c>
      <c r="CB2" s="10">
        <f>IF(AJ2=0,"NaN",AJ2*(1+BF2)^0)</f>
        <v>568581.81131877203</v>
      </c>
      <c r="CC2" s="12"/>
      <c r="CD2" s="13" t="s">
        <v>114</v>
      </c>
      <c r="CE2" s="13" t="s">
        <v>115</v>
      </c>
      <c r="CF2" s="13">
        <v>1</v>
      </c>
      <c r="CG2" s="13">
        <v>556577.68602918601</v>
      </c>
      <c r="CH2" s="13">
        <v>93.317777851524994</v>
      </c>
      <c r="CI2" s="13">
        <v>5964.3263999999999</v>
      </c>
      <c r="CJ2" s="11"/>
      <c r="CK2" s="13" t="s">
        <v>114</v>
      </c>
      <c r="CL2" s="13" t="s">
        <v>115</v>
      </c>
      <c r="CM2" s="14">
        <v>526557.28225679905</v>
      </c>
      <c r="CN2" s="13">
        <v>1</v>
      </c>
      <c r="CO2" s="14">
        <v>88.284453900214501</v>
      </c>
      <c r="CP2" s="14">
        <v>5964.32620914156</v>
      </c>
      <c r="CQ2" s="11"/>
      <c r="CT2" s="10">
        <f>2100000*($CP$2/($CP$2+$CP$3))</f>
        <v>1453686.1468798644</v>
      </c>
      <c r="DB2" s="10"/>
      <c r="DC2" s="10"/>
      <c r="DD2" s="10"/>
      <c r="DE2" s="10"/>
      <c r="DF2" s="10"/>
      <c r="DJ2" s="8">
        <f>2460000*($CP$2/($CP$2+$CP$3))</f>
        <v>1702889.486344984</v>
      </c>
      <c r="DP2" s="8">
        <f t="shared" ref="DP2:DP15" si="2">8000000*($CP2/(SUM($CP$2:$CP$15)))</f>
        <v>1428347.2326137358</v>
      </c>
      <c r="DV2" s="8">
        <f t="shared" ref="DV2:DV15" si="3">2800000*($CP2/(SUM($CP$2:$CP$15)))</f>
        <v>499921.53141480754</v>
      </c>
      <c r="DZ2" s="8">
        <f t="shared" ref="DZ2:DZ33" si="4">SUM(CR2:DV2)</f>
        <v>5084844.3972533923</v>
      </c>
      <c r="EA2" s="8">
        <f>DZ2*0.764555</f>
        <v>3887643.2081420673</v>
      </c>
      <c r="EB2" s="8">
        <f>DZ2/SUM(DZ$2:DZ$51)</f>
        <v>4.8189100054459554E-2</v>
      </c>
      <c r="EC2" s="8">
        <f t="shared" ref="EC2:EC33" si="5">EA2/CP2</f>
        <v>651.81599258998483</v>
      </c>
      <c r="ED2" s="12"/>
      <c r="EG2" s="8">
        <f>25590800*($CP$2/($CP$2+$CP$3))</f>
        <v>17714757.832177732</v>
      </c>
      <c r="EX2" s="8">
        <f>25590800*($CP$2/($CP$2+$CP$3))</f>
        <v>17714757.832177732</v>
      </c>
      <c r="FJ2" s="8">
        <f t="shared" ref="FJ2:FJ15" si="6">55100000*($CP2/(SUM($CP$2:$CP$15)))</f>
        <v>9837741.5646271054</v>
      </c>
      <c r="FN2" s="12"/>
      <c r="FO2" s="8">
        <f>FA2+FB2</f>
        <v>0</v>
      </c>
      <c r="FP2" s="8">
        <f>FC2</f>
        <v>0</v>
      </c>
      <c r="FQ2" s="8">
        <f>FD2+FE2</f>
        <v>0</v>
      </c>
      <c r="FR2" s="8">
        <f>FF2</f>
        <v>0</v>
      </c>
      <c r="FS2" s="8">
        <f>FG2+FH2</f>
        <v>0</v>
      </c>
      <c r="FT2" s="8">
        <f>FI2</f>
        <v>0</v>
      </c>
      <c r="FU2" s="8">
        <f>FJ2</f>
        <v>9837741.5646271054</v>
      </c>
      <c r="FV2" s="8">
        <f>FK2</f>
        <v>0</v>
      </c>
      <c r="FW2" s="8">
        <f>FL2</f>
        <v>0</v>
      </c>
      <c r="FX2" s="8">
        <f>SUM(EE2:FJ2)</f>
        <v>45267257.228982568</v>
      </c>
    </row>
    <row r="3" spans="1:180" x14ac:dyDescent="0.3">
      <c r="A3" s="13">
        <v>2</v>
      </c>
      <c r="B3" s="13" t="s">
        <v>117</v>
      </c>
      <c r="C3" s="13" t="s">
        <v>118</v>
      </c>
      <c r="D3" s="13" t="s">
        <v>116</v>
      </c>
      <c r="F3" s="13">
        <f>F2</f>
        <v>10</v>
      </c>
      <c r="G3" s="13">
        <f t="shared" si="0"/>
        <v>-24.889896764485712</v>
      </c>
      <c r="H3" s="13">
        <f>(2*EA3)/$F3/$CI3</f>
        <v>179.95420559927831</v>
      </c>
      <c r="I3" s="13">
        <f t="shared" ref="I3:I51" si="7">IF(AND(H3=0,G3&gt;0),1,IF(AND(H3=0,G3&lt;=0),"NaN",G3/H3))</f>
        <v>-0.13831239276458193</v>
      </c>
      <c r="J3" s="13">
        <f t="shared" si="1"/>
        <v>6</v>
      </c>
      <c r="K3" s="13">
        <f t="shared" ref="K3:K51" si="8">IF(J3=0,"NaN",20/J3)</f>
        <v>3.3333333333333335</v>
      </c>
      <c r="M3" s="14">
        <f t="shared" ref="M3:M51" si="9">IF(SUM(BH3:CB3)=0,"NaN",MEDIAN(BH3:CB3))</f>
        <v>592521.23191284621</v>
      </c>
      <c r="N3" s="14">
        <f t="shared" ref="N3:N51" si="10">IF(SUM(BH3:CB3)=0,"NaN",AVERAGE(BH3:CB3))</f>
        <v>575625.35280931543</v>
      </c>
      <c r="P3" s="14">
        <v>233156.027987093</v>
      </c>
      <c r="Q3" s="14">
        <v>286556.86684956198</v>
      </c>
      <c r="R3" s="14">
        <v>317548.15614818397</v>
      </c>
      <c r="S3" s="14">
        <v>380059.14606495202</v>
      </c>
      <c r="T3" s="14">
        <v>423378.70386886701</v>
      </c>
      <c r="U3" s="14">
        <v>520058.30453693098</v>
      </c>
      <c r="V3" s="14">
        <v>584519.70161607803</v>
      </c>
      <c r="W3" s="14">
        <v>564969.09063208499</v>
      </c>
      <c r="X3" s="14">
        <v>542820.94903709495</v>
      </c>
      <c r="Y3" s="14">
        <v>516972.73678475799</v>
      </c>
      <c r="Z3" s="14">
        <v>533913.00905989297</v>
      </c>
      <c r="AA3" s="14">
        <v>519253.77793985402</v>
      </c>
      <c r="AB3" s="14">
        <v>486150.95270294102</v>
      </c>
      <c r="AC3" s="14">
        <v>488785.17184673098</v>
      </c>
      <c r="AD3" s="14">
        <v>517544.141342544</v>
      </c>
      <c r="AE3" s="14">
        <v>521485.06484513002</v>
      </c>
      <c r="AF3" s="14">
        <v>548495.63596727396</v>
      </c>
      <c r="AG3" s="14">
        <v>578127.26938555005</v>
      </c>
      <c r="AH3" s="14">
        <v>624892.70066150196</v>
      </c>
      <c r="AI3" s="14">
        <v>640905.43805827596</v>
      </c>
      <c r="AJ3" s="14">
        <v>657640.34498000704</v>
      </c>
      <c r="AL3" s="23">
        <v>3.2888721496165063E-2</v>
      </c>
      <c r="AM3" s="23">
        <v>2.8843039908195367E-2</v>
      </c>
      <c r="AN3" s="23">
        <v>2.3508826348185297E-2</v>
      </c>
      <c r="AO3" s="23">
        <v>1.727558717854083E-2</v>
      </c>
      <c r="AP3" s="23">
        <v>9.7904355801925469E-3</v>
      </c>
      <c r="AQ3" s="23">
        <v>1.8178580442596015E-3</v>
      </c>
      <c r="AR3" s="23">
        <v>-3.3449229627590116E-3</v>
      </c>
      <c r="AS3" s="23">
        <v>-1.1079319634054174E-3</v>
      </c>
      <c r="AT3" s="23">
        <v>4.8934098997499564E-3</v>
      </c>
      <c r="AU3" s="23">
        <v>1.5235248091937992E-2</v>
      </c>
      <c r="AV3" s="23">
        <v>1.6126764918219072E-2</v>
      </c>
      <c r="AW3" s="23">
        <v>2.1540722483505803E-2</v>
      </c>
      <c r="AX3" s="23">
        <v>2.7613026747848268E-2</v>
      </c>
      <c r="AY3" s="23">
        <v>2.6978579088403398E-2</v>
      </c>
      <c r="AZ3" s="23">
        <v>2.5079662791946955E-2</v>
      </c>
      <c r="BA3" s="23">
        <v>2.5870185947085789E-2</v>
      </c>
      <c r="BB3" s="23">
        <v>2.6893536703573639E-2</v>
      </c>
      <c r="BC3" s="23">
        <v>2.3026535336124088E-2</v>
      </c>
      <c r="BD3" s="23">
        <v>1.6693942729572031E-2</v>
      </c>
      <c r="BE3" s="23">
        <v>2.2786008601595631E-2</v>
      </c>
      <c r="BF3" s="23">
        <v>0</v>
      </c>
      <c r="BH3" s="14">
        <f t="shared" ref="BH3:BH50" si="11">IF(P3=0,"NaN",P3*(1+AL3)^20)</f>
        <v>445366.30090999953</v>
      </c>
      <c r="BI3" s="14">
        <f t="shared" ref="BI3:BI50" si="12">IF(Q3=0,"NaN",Q3*(1+AM3)^19)</f>
        <v>491863.02319946548</v>
      </c>
      <c r="BJ3" s="14">
        <f t="shared" ref="BJ3:BJ50" si="13">IF(R3=0,"NaN",R3*(1+AN3)^18)</f>
        <v>482456.60343247885</v>
      </c>
      <c r="BK3" s="14">
        <f t="shared" ref="BK3:BK50" si="14">IF(S3=0,"NaN",S3*(1+AO3)^17)</f>
        <v>508519.68309912406</v>
      </c>
      <c r="BL3" s="14">
        <f t="shared" ref="BL3:BL50" si="15">IF(T3=0,"NaN",T3*(1+AP3)^16)</f>
        <v>494799.27552012703</v>
      </c>
      <c r="BM3" s="14">
        <f t="shared" ref="BM3:BM50" si="16">IF(U3=0,"NaN",U3*(1+AQ3)^15)</f>
        <v>534421.06821483898</v>
      </c>
      <c r="BN3" s="14">
        <f t="shared" ref="BN3:BN50" si="17">IF(V3=0,"NaN",V3*(1+AR3)^14)</f>
        <v>557734.5157825764</v>
      </c>
      <c r="BO3" s="14">
        <f t="shared" ref="BO3:BO50" si="18">IF(W3=0,"NaN",W3*(1+AS3)^13)</f>
        <v>556885.6499578061</v>
      </c>
      <c r="BP3" s="14">
        <f t="shared" ref="BP3:BP50" si="19">IF(X3=0,"NaN",X3*(1+AT3)^12)</f>
        <v>575567.91673000646</v>
      </c>
      <c r="BQ3" s="14">
        <f t="shared" ref="BQ3:BQ50" si="20">IF(Y3=0,"NaN",Y3*(1+AU3)^11)</f>
        <v>610521.84091450041</v>
      </c>
      <c r="BR3" s="14">
        <f t="shared" ref="BR3:BR50" si="21">IF(Z3=0,"NaN",Z3*(1+AV3)^10)</f>
        <v>626540.87852129852</v>
      </c>
      <c r="BS3" s="14">
        <f t="shared" ref="BS3:BS50" si="22">IF(AA3=0,"NaN",AA3*(1+AW3)^9)</f>
        <v>629043.70476632961</v>
      </c>
      <c r="BT3" s="14">
        <f t="shared" ref="BT3:BT50" si="23">IF(AB3=0,"NaN",AB3*(1+AX3)^8)</f>
        <v>604516.20819508785</v>
      </c>
      <c r="BU3" s="14">
        <f t="shared" ref="BU3:BU50" si="24">IF(AC3=0,"NaN",AC3*(1+AY3)^7)</f>
        <v>588908.35799540125</v>
      </c>
      <c r="BV3" s="14">
        <f t="shared" ref="BV3:BV50" si="25">IF(AD3=0,"NaN",AD3*(1+AZ3)^6)</f>
        <v>600472.46978763281</v>
      </c>
      <c r="BW3" s="14">
        <f t="shared" ref="BW3:BW50" si="26">IF(AE3=0,"NaN",AE3*(1+BA3)^5)</f>
        <v>592521.23191284621</v>
      </c>
      <c r="BX3" s="14">
        <f t="shared" ref="BX3:BX50" si="27">IF(AF3=0,"NaN",AF3*(1+BB3)^4)</f>
        <v>609922.78563940327</v>
      </c>
      <c r="BY3" s="14">
        <f t="shared" ref="BY3:BY50" si="28">IF(AG3=0,"NaN",AG3*(1+BC3)^3)</f>
        <v>618990.73805416736</v>
      </c>
      <c r="BZ3" s="14">
        <f t="shared" ref="BZ3:BZ50" si="29">IF(AH3=0,"NaN",AH3*(1+BD3)^2)</f>
        <v>645930.69649984641</v>
      </c>
      <c r="CA3" s="14">
        <f t="shared" ref="CA3:CA50" si="30">IF(AI3=0,"NaN",AI3*(1+BE3)^1)</f>
        <v>655509.11488268129</v>
      </c>
      <c r="CB3" s="14">
        <f t="shared" ref="CB3:CB50" si="31">IF(AJ3=0,"NaN",AJ3*(1+BF3)^0)</f>
        <v>657640.34498000704</v>
      </c>
      <c r="CD3" s="13" t="s">
        <v>117</v>
      </c>
      <c r="CE3" s="13" t="s">
        <v>118</v>
      </c>
      <c r="CF3" s="13">
        <v>2</v>
      </c>
      <c r="CG3" s="13">
        <v>277457.25943533902</v>
      </c>
      <c r="CH3" s="13">
        <v>104.63136159959301</v>
      </c>
      <c r="CI3" s="13">
        <v>2651.76</v>
      </c>
      <c r="CK3" s="13" t="s">
        <v>117</v>
      </c>
      <c r="CL3" s="13" t="s">
        <v>118</v>
      </c>
      <c r="CM3" s="14">
        <v>211455.22002457699</v>
      </c>
      <c r="CN3" s="13">
        <v>2</v>
      </c>
      <c r="CO3" s="14">
        <v>79.741464835107294</v>
      </c>
      <c r="CP3" s="14">
        <v>2651.7599151436798</v>
      </c>
      <c r="CT3" s="14">
        <f>2100000*($CP$3/($CP$3+$CP$2))</f>
        <v>646313.85312013538</v>
      </c>
      <c r="DB3" s="14"/>
      <c r="DC3" s="14">
        <v>60000</v>
      </c>
      <c r="DD3" s="14"/>
      <c r="DE3" s="14"/>
      <c r="DF3" s="14"/>
      <c r="DI3" s="13">
        <v>800000</v>
      </c>
      <c r="DJ3" s="13">
        <f>2460000*($CP$3/($CP$3+$CP$2))</f>
        <v>757110.51365501585</v>
      </c>
      <c r="DP3" s="13">
        <f t="shared" si="2"/>
        <v>635048.08481906634</v>
      </c>
      <c r="DV3" s="13">
        <f t="shared" si="3"/>
        <v>222266.82968667324</v>
      </c>
      <c r="DZ3" s="13">
        <f t="shared" si="4"/>
        <v>3120739.281280891</v>
      </c>
      <c r="EA3" s="13">
        <f t="shared" ref="EA3:EA51" si="32">DZ3*0.764555</f>
        <v>2385976.8211997114</v>
      </c>
      <c r="EB3" s="13">
        <f t="shared" ref="EB3:EB51" si="33">DZ3/SUM(DZ$2:DZ$51)</f>
        <v>2.957526439762025E-2</v>
      </c>
      <c r="EC3" s="13">
        <f t="shared" si="5"/>
        <v>899.77105678906548</v>
      </c>
      <c r="EG3" s="13">
        <f>25590800*($CP$3/($CP$3+$CP$2))</f>
        <v>7876042.1678222679</v>
      </c>
      <c r="EP3" s="13">
        <v>2550000</v>
      </c>
      <c r="EW3" s="13">
        <v>18461538</v>
      </c>
      <c r="EX3" s="13">
        <f>25590800*($CP$3/($CP$3+$CP$2))</f>
        <v>7876042.1678222679</v>
      </c>
      <c r="FJ3" s="13">
        <f t="shared" si="6"/>
        <v>4373893.6841913201</v>
      </c>
      <c r="FO3" s="13">
        <f t="shared" ref="FO3:FO15" si="34">FA3+FB3</f>
        <v>0</v>
      </c>
      <c r="FP3" s="13">
        <f t="shared" ref="FP3:FP15" si="35">FC3</f>
        <v>0</v>
      </c>
      <c r="FQ3" s="13">
        <f t="shared" ref="FQ3:FQ15" si="36">FD3+FE3</f>
        <v>0</v>
      </c>
      <c r="FR3" s="13">
        <f t="shared" ref="FR3:FR15" si="37">FF3</f>
        <v>0</v>
      </c>
      <c r="FS3" s="13">
        <f t="shared" ref="FS3:FS15" si="38">FG3+FH3</f>
        <v>0</v>
      </c>
      <c r="FT3" s="13">
        <f t="shared" ref="FT3:FW15" si="39">FI3</f>
        <v>0</v>
      </c>
      <c r="FU3" s="13">
        <f t="shared" si="39"/>
        <v>4373893.6841913201</v>
      </c>
      <c r="FV3" s="13">
        <f t="shared" si="39"/>
        <v>0</v>
      </c>
      <c r="FW3" s="13">
        <f t="shared" si="39"/>
        <v>0</v>
      </c>
      <c r="FX3" s="13">
        <f t="shared" ref="FX3:FX15" si="40">SUM(EE3:FJ3)</f>
        <v>41137516.01983586</v>
      </c>
    </row>
    <row r="4" spans="1:180" s="8" customFormat="1" x14ac:dyDescent="0.3">
      <c r="A4" s="8">
        <v>3</v>
      </c>
      <c r="B4" s="8" t="s">
        <v>119</v>
      </c>
      <c r="C4" s="8" t="s">
        <v>120</v>
      </c>
      <c r="D4" s="8" t="s">
        <v>116</v>
      </c>
      <c r="F4" s="8">
        <f t="shared" ref="F4:F51" si="41">F3</f>
        <v>10</v>
      </c>
      <c r="G4" s="8">
        <f t="shared" si="0"/>
        <v>-11.134950248965694</v>
      </c>
      <c r="H4" s="8">
        <f>(2*EA4)/$F4/$CI4</f>
        <v>156.72839285664082</v>
      </c>
      <c r="I4" s="8">
        <f t="shared" si="7"/>
        <v>-7.1046158555015698E-2</v>
      </c>
      <c r="J4" s="8">
        <f t="shared" si="1"/>
        <v>5</v>
      </c>
      <c r="K4" s="8">
        <f t="shared" si="8"/>
        <v>4</v>
      </c>
      <c r="M4" s="10">
        <f t="shared" si="9"/>
        <v>388001.64507234818</v>
      </c>
      <c r="N4" s="10">
        <f t="shared" si="10"/>
        <v>393687.97853753087</v>
      </c>
      <c r="O4" s="11"/>
      <c r="P4" s="10">
        <v>173359.44166484001</v>
      </c>
      <c r="Q4" s="10">
        <v>201316.88820762801</v>
      </c>
      <c r="R4" s="10">
        <v>233071.40011451501</v>
      </c>
      <c r="S4" s="10">
        <v>286134.639764147</v>
      </c>
      <c r="T4" s="10">
        <v>335760.39867841202</v>
      </c>
      <c r="U4" s="10">
        <v>401287.85322415101</v>
      </c>
      <c r="V4" s="10">
        <v>455280.41157571197</v>
      </c>
      <c r="W4" s="10">
        <v>437794.96309082001</v>
      </c>
      <c r="X4" s="10">
        <v>406590.190368829</v>
      </c>
      <c r="Y4" s="10">
        <v>361366.76138257602</v>
      </c>
      <c r="Z4" s="10">
        <v>327921.52050537098</v>
      </c>
      <c r="AA4" s="10">
        <v>318612.00853246002</v>
      </c>
      <c r="AB4" s="10">
        <v>301649.952524169</v>
      </c>
      <c r="AC4" s="10">
        <v>305103.76161356003</v>
      </c>
      <c r="AD4" s="10">
        <v>319633.50878881599</v>
      </c>
      <c r="AE4" s="10">
        <v>330805.10446673498</v>
      </c>
      <c r="AF4" s="10">
        <v>348924.83783369802</v>
      </c>
      <c r="AG4" s="10">
        <v>366770.41658458399</v>
      </c>
      <c r="AH4" s="10">
        <v>397821.67639097298</v>
      </c>
      <c r="AI4" s="10">
        <v>422395.80110041099</v>
      </c>
      <c r="AJ4" s="10">
        <v>441061.05929606903</v>
      </c>
      <c r="AK4" s="11"/>
      <c r="AL4" s="22">
        <v>3.2888721496165063E-2</v>
      </c>
      <c r="AM4" s="22">
        <v>2.8843039908195367E-2</v>
      </c>
      <c r="AN4" s="22">
        <v>2.3508826348185297E-2</v>
      </c>
      <c r="AO4" s="22">
        <v>1.727558717854083E-2</v>
      </c>
      <c r="AP4" s="22">
        <v>9.7904355801925469E-3</v>
      </c>
      <c r="AQ4" s="22">
        <v>1.8178580442596015E-3</v>
      </c>
      <c r="AR4" s="22">
        <v>-3.3449229627590116E-3</v>
      </c>
      <c r="AS4" s="22">
        <v>-1.1079319634054174E-3</v>
      </c>
      <c r="AT4" s="22">
        <v>4.8934098997499564E-3</v>
      </c>
      <c r="AU4" s="22">
        <v>1.5235248091937992E-2</v>
      </c>
      <c r="AV4" s="22">
        <v>1.6126764918219072E-2</v>
      </c>
      <c r="AW4" s="22">
        <v>2.1540722483505803E-2</v>
      </c>
      <c r="AX4" s="22">
        <v>2.7613026747848268E-2</v>
      </c>
      <c r="AY4" s="22">
        <v>2.6978579088403398E-2</v>
      </c>
      <c r="AZ4" s="22">
        <v>2.5079662791946955E-2</v>
      </c>
      <c r="BA4" s="22">
        <v>2.5870185947085789E-2</v>
      </c>
      <c r="BB4" s="22">
        <v>2.6893536703573639E-2</v>
      </c>
      <c r="BC4" s="22">
        <v>2.3026535336124088E-2</v>
      </c>
      <c r="BD4" s="22">
        <v>1.6693942729572031E-2</v>
      </c>
      <c r="BE4" s="22">
        <v>2.2786008601595631E-2</v>
      </c>
      <c r="BF4" s="22">
        <v>0</v>
      </c>
      <c r="BG4" s="11"/>
      <c r="BH4" s="10">
        <f t="shared" si="11"/>
        <v>331145.00160539162</v>
      </c>
      <c r="BI4" s="10">
        <f t="shared" si="12"/>
        <v>345552.12144644541</v>
      </c>
      <c r="BJ4" s="10">
        <f t="shared" si="13"/>
        <v>354109.55434434273</v>
      </c>
      <c r="BK4" s="10">
        <f t="shared" si="14"/>
        <v>382848.55881794583</v>
      </c>
      <c r="BL4" s="10">
        <f t="shared" si="15"/>
        <v>392400.4691220462</v>
      </c>
      <c r="BM4" s="10">
        <f t="shared" si="16"/>
        <v>412370.46175552619</v>
      </c>
      <c r="BN4" s="10">
        <f t="shared" si="17"/>
        <v>434417.52124593785</v>
      </c>
      <c r="BO4" s="10">
        <f t="shared" si="18"/>
        <v>431531.09897803556</v>
      </c>
      <c r="BP4" s="10">
        <f t="shared" si="19"/>
        <v>431118.71280681045</v>
      </c>
      <c r="BQ4" s="10">
        <f t="shared" si="20"/>
        <v>426758.09516906418</v>
      </c>
      <c r="BR4" s="10">
        <f t="shared" si="21"/>
        <v>384812.19610145816</v>
      </c>
      <c r="BS4" s="10">
        <f t="shared" si="22"/>
        <v>385978.66158138029</v>
      </c>
      <c r="BT4" s="10">
        <f t="shared" si="23"/>
        <v>375093.95896126929</v>
      </c>
      <c r="BU4" s="10">
        <f t="shared" si="24"/>
        <v>367601.48551806697</v>
      </c>
      <c r="BV4" s="10">
        <f t="shared" si="25"/>
        <v>370849.76356108533</v>
      </c>
      <c r="BW4" s="10">
        <f t="shared" si="26"/>
        <v>375867.04056404397</v>
      </c>
      <c r="BX4" s="10">
        <f t="shared" si="27"/>
        <v>388001.64507234818</v>
      </c>
      <c r="BY4" s="10">
        <f t="shared" si="28"/>
        <v>392694.65891034214</v>
      </c>
      <c r="BZ4" s="10">
        <f t="shared" si="29"/>
        <v>411214.96897297434</v>
      </c>
      <c r="CA4" s="10">
        <f t="shared" si="30"/>
        <v>432020.51545756281</v>
      </c>
      <c r="CB4" s="10">
        <f t="shared" si="31"/>
        <v>441061.05929606903</v>
      </c>
      <c r="CC4" s="12"/>
      <c r="CD4" s="13" t="s">
        <v>119</v>
      </c>
      <c r="CE4" s="13" t="s">
        <v>120</v>
      </c>
      <c r="CF4" s="13">
        <v>3</v>
      </c>
      <c r="CG4" s="13">
        <v>672378.74350680003</v>
      </c>
      <c r="CH4" s="13">
        <v>96.706282331151897</v>
      </c>
      <c r="CI4" s="13">
        <v>6952.7928000000002</v>
      </c>
      <c r="CJ4" s="11"/>
      <c r="CK4" s="13" t="s">
        <v>119</v>
      </c>
      <c r="CL4" s="13" t="s">
        <v>120</v>
      </c>
      <c r="CM4" s="14">
        <v>594959.72254872206</v>
      </c>
      <c r="CN4" s="13">
        <v>3</v>
      </c>
      <c r="CO4" s="14">
        <v>85.571332082186203</v>
      </c>
      <c r="CP4" s="14">
        <v>6952.7925775106296</v>
      </c>
      <c r="CQ4" s="11"/>
      <c r="CT4" s="10"/>
      <c r="DC4" s="8">
        <v>700000</v>
      </c>
      <c r="DM4" s="8">
        <v>3500000</v>
      </c>
      <c r="DP4" s="8">
        <f t="shared" si="2"/>
        <v>1665066.8807824969</v>
      </c>
      <c r="DQ4" s="8">
        <f>1400000*(79/(84+79))</f>
        <v>678527.60736196314</v>
      </c>
      <c r="DV4" s="8">
        <f t="shared" si="3"/>
        <v>582773.40827387385</v>
      </c>
      <c r="DZ4" s="8">
        <f t="shared" si="4"/>
        <v>7126367.896418334</v>
      </c>
      <c r="EA4" s="8">
        <f t="shared" si="32"/>
        <v>5448500.2070461195</v>
      </c>
      <c r="EB4" s="8">
        <f t="shared" si="33"/>
        <v>6.7536630181031343E-2</v>
      </c>
      <c r="EC4" s="8">
        <f t="shared" si="5"/>
        <v>783.64198935974798</v>
      </c>
      <c r="ED4" s="12"/>
      <c r="EP4" s="8">
        <v>18539000</v>
      </c>
      <c r="FA4" s="8">
        <v>32307692</v>
      </c>
      <c r="FE4" s="8">
        <v>38200000</v>
      </c>
      <c r="FJ4" s="8">
        <f t="shared" si="6"/>
        <v>11468148.141389446</v>
      </c>
      <c r="FN4" s="12"/>
      <c r="FO4" s="8">
        <f t="shared" si="34"/>
        <v>32307692</v>
      </c>
      <c r="FP4" s="8">
        <f t="shared" si="35"/>
        <v>0</v>
      </c>
      <c r="FQ4" s="8">
        <f t="shared" si="36"/>
        <v>38200000</v>
      </c>
      <c r="FR4" s="8">
        <f t="shared" si="37"/>
        <v>0</v>
      </c>
      <c r="FS4" s="8">
        <f t="shared" si="38"/>
        <v>0</v>
      </c>
      <c r="FT4" s="8">
        <f t="shared" si="39"/>
        <v>0</v>
      </c>
      <c r="FU4" s="8">
        <f t="shared" si="39"/>
        <v>11468148.141389446</v>
      </c>
      <c r="FV4" s="8">
        <f t="shared" si="39"/>
        <v>0</v>
      </c>
      <c r="FW4" s="8">
        <f t="shared" si="39"/>
        <v>0</v>
      </c>
      <c r="FX4" s="8">
        <f t="shared" si="40"/>
        <v>100514840.14138944</v>
      </c>
    </row>
    <row r="5" spans="1:180" x14ac:dyDescent="0.3">
      <c r="A5" s="13">
        <v>4</v>
      </c>
      <c r="B5" s="13" t="s">
        <v>121</v>
      </c>
      <c r="C5" s="13" t="s">
        <v>122</v>
      </c>
      <c r="D5" s="13" t="s">
        <v>116</v>
      </c>
      <c r="F5" s="13">
        <f t="shared" si="41"/>
        <v>10</v>
      </c>
      <c r="G5" s="13">
        <f t="shared" si="0"/>
        <v>51.210626277978008</v>
      </c>
      <c r="H5" s="13">
        <f>(2*EA5)/$F5/$CI5</f>
        <v>92.12349446055417</v>
      </c>
      <c r="I5" s="13">
        <f t="shared" si="7"/>
        <v>0.55589105230811231</v>
      </c>
      <c r="J5" s="13">
        <f t="shared" si="1"/>
        <v>3</v>
      </c>
      <c r="K5" s="13">
        <f t="shared" si="8"/>
        <v>6.666666666666667</v>
      </c>
      <c r="M5" s="14">
        <f t="shared" si="9"/>
        <v>1606373.304475534</v>
      </c>
      <c r="N5" s="14">
        <f t="shared" si="10"/>
        <v>1531031.938727574</v>
      </c>
      <c r="P5" s="14">
        <v>502898.96869987401</v>
      </c>
      <c r="Q5" s="14">
        <v>652814.97204633802</v>
      </c>
      <c r="R5" s="14">
        <v>744230.34108574805</v>
      </c>
      <c r="S5" s="14">
        <v>870790.77850068302</v>
      </c>
      <c r="T5" s="14">
        <v>1055092.6703063999</v>
      </c>
      <c r="U5" s="14">
        <v>1277716.1923491401</v>
      </c>
      <c r="V5" s="14">
        <v>1487806.6117621099</v>
      </c>
      <c r="W5" s="14">
        <v>1583276.1858681</v>
      </c>
      <c r="X5" s="14">
        <v>1535274.38041579</v>
      </c>
      <c r="Y5" s="14">
        <v>1508785.0552401999</v>
      </c>
      <c r="Z5" s="14">
        <v>1518987.6870621601</v>
      </c>
      <c r="AA5" s="14">
        <v>1491052.4455439299</v>
      </c>
      <c r="AB5" s="14">
        <v>1378325.4001298</v>
      </c>
      <c r="AC5" s="14">
        <v>1341576.01475307</v>
      </c>
      <c r="AD5" s="14">
        <v>1351797.46625036</v>
      </c>
      <c r="AE5" s="14">
        <v>1387130.12370232</v>
      </c>
      <c r="AF5" s="14">
        <v>1444590.63997008</v>
      </c>
      <c r="AG5" s="14">
        <v>1500982.6539895299</v>
      </c>
      <c r="AH5" s="14">
        <v>1685263.95838898</v>
      </c>
      <c r="AI5" s="14">
        <v>1814650.4819376599</v>
      </c>
      <c r="AJ5" s="14">
        <v>1963579.0023240601</v>
      </c>
      <c r="AL5" s="23">
        <v>3.2888721496165063E-2</v>
      </c>
      <c r="AM5" s="23">
        <v>2.8843039908195367E-2</v>
      </c>
      <c r="AN5" s="23">
        <v>2.3508826348185297E-2</v>
      </c>
      <c r="AO5" s="23">
        <v>1.727558717854083E-2</v>
      </c>
      <c r="AP5" s="23">
        <v>9.7904355801925469E-3</v>
      </c>
      <c r="AQ5" s="23">
        <v>1.8178580442596015E-3</v>
      </c>
      <c r="AR5" s="23">
        <v>-3.3449229627590116E-3</v>
      </c>
      <c r="AS5" s="23">
        <v>-1.1079319634054174E-3</v>
      </c>
      <c r="AT5" s="23">
        <v>4.8934098997499564E-3</v>
      </c>
      <c r="AU5" s="23">
        <v>1.5235248091937992E-2</v>
      </c>
      <c r="AV5" s="23">
        <v>1.6126764918219072E-2</v>
      </c>
      <c r="AW5" s="23">
        <v>2.1540722483505803E-2</v>
      </c>
      <c r="AX5" s="23">
        <v>2.7613026747848268E-2</v>
      </c>
      <c r="AY5" s="23">
        <v>2.6978579088403398E-2</v>
      </c>
      <c r="AZ5" s="23">
        <v>2.5079662791946955E-2</v>
      </c>
      <c r="BA5" s="23">
        <v>2.5870185947085789E-2</v>
      </c>
      <c r="BB5" s="23">
        <v>2.6893536703573639E-2</v>
      </c>
      <c r="BC5" s="23">
        <v>2.3026535336124088E-2</v>
      </c>
      <c r="BD5" s="23">
        <v>1.6693942729572031E-2</v>
      </c>
      <c r="BE5" s="23">
        <v>2.2786008601595631E-2</v>
      </c>
      <c r="BF5" s="23">
        <v>0</v>
      </c>
      <c r="BH5" s="14">
        <f t="shared" si="11"/>
        <v>960619.61320474744</v>
      </c>
      <c r="BI5" s="14">
        <f t="shared" si="12"/>
        <v>1120529.929262371</v>
      </c>
      <c r="BJ5" s="14">
        <f t="shared" si="13"/>
        <v>1130722.4922574272</v>
      </c>
      <c r="BK5" s="14">
        <f t="shared" si="14"/>
        <v>1165119.3118587127</v>
      </c>
      <c r="BL5" s="14">
        <f t="shared" si="15"/>
        <v>1233078.2916183244</v>
      </c>
      <c r="BM5" s="14">
        <f t="shared" si="16"/>
        <v>1313003.6506168963</v>
      </c>
      <c r="BN5" s="14">
        <f t="shared" si="17"/>
        <v>1419628.9669878103</v>
      </c>
      <c r="BO5" s="14">
        <f t="shared" si="18"/>
        <v>1560623.0543398873</v>
      </c>
      <c r="BP5" s="14">
        <f t="shared" si="19"/>
        <v>1627893.4671043453</v>
      </c>
      <c r="BQ5" s="14">
        <f t="shared" si="20"/>
        <v>1781808.137888426</v>
      </c>
      <c r="BR5" s="14">
        <f t="shared" si="21"/>
        <v>1782514.8737070779</v>
      </c>
      <c r="BS5" s="14">
        <f t="shared" si="22"/>
        <v>1806317.4389739202</v>
      </c>
      <c r="BT5" s="14">
        <f t="shared" si="23"/>
        <v>1713912.1910855884</v>
      </c>
      <c r="BU5" s="14">
        <f t="shared" si="24"/>
        <v>1616385.6300902402</v>
      </c>
      <c r="BV5" s="14">
        <f t="shared" si="25"/>
        <v>1568401.8006780434</v>
      </c>
      <c r="BW5" s="14">
        <f t="shared" si="26"/>
        <v>1576083.583455272</v>
      </c>
      <c r="BX5" s="14">
        <f t="shared" si="27"/>
        <v>1606373.304475534</v>
      </c>
      <c r="BY5" s="14">
        <f t="shared" si="28"/>
        <v>1607075.8291456304</v>
      </c>
      <c r="BZ5" s="14">
        <f t="shared" si="29"/>
        <v>1742001.0207767589</v>
      </c>
      <c r="CA5" s="14">
        <f t="shared" si="30"/>
        <v>1855999.123427981</v>
      </c>
      <c r="CB5" s="14">
        <f t="shared" si="31"/>
        <v>1963579.0023240601</v>
      </c>
      <c r="CD5" s="13" t="s">
        <v>121</v>
      </c>
      <c r="CE5" s="13" t="s">
        <v>122</v>
      </c>
      <c r="CF5" s="13">
        <v>4</v>
      </c>
      <c r="CG5" s="13">
        <v>99772.808116062995</v>
      </c>
      <c r="CH5" s="13">
        <v>38.605803668435897</v>
      </c>
      <c r="CI5" s="13">
        <v>2584.3991999999998</v>
      </c>
      <c r="CK5" s="13" t="s">
        <v>121</v>
      </c>
      <c r="CL5" s="13" t="s">
        <v>122</v>
      </c>
      <c r="CM5" s="14">
        <v>232121.50227247999</v>
      </c>
      <c r="CN5" s="13">
        <v>4</v>
      </c>
      <c r="CO5" s="14">
        <v>89.816429946413905</v>
      </c>
      <c r="CP5" s="14">
        <v>2584.3991172992201</v>
      </c>
      <c r="CT5" s="14"/>
      <c r="DP5" s="13">
        <f t="shared" si="2"/>
        <v>618916.40358400601</v>
      </c>
      <c r="DQ5" s="13">
        <f>1400000*(84/(84+79))</f>
        <v>721472.39263803686</v>
      </c>
      <c r="DV5" s="13">
        <f t="shared" si="3"/>
        <v>216620.74125440209</v>
      </c>
      <c r="DX5" s="13">
        <f>912000*($CP5/(SUM($CP$5:$CP$7)))</f>
        <v>690063.18043905019</v>
      </c>
      <c r="DZ5" s="13">
        <f t="shared" si="4"/>
        <v>1557009.5374764448</v>
      </c>
      <c r="EA5" s="13">
        <f t="shared" si="32"/>
        <v>1190419.4269253032</v>
      </c>
      <c r="EB5" s="13">
        <f t="shared" si="33"/>
        <v>1.4755788481497794E-2</v>
      </c>
      <c r="EC5" s="13">
        <f t="shared" si="5"/>
        <v>460.61748704253142</v>
      </c>
      <c r="FE5" s="13">
        <v>48500000</v>
      </c>
      <c r="FJ5" s="13">
        <f t="shared" si="6"/>
        <v>4262786.7296848418</v>
      </c>
      <c r="FL5" s="13">
        <f>24000000*($CP5/(SUM($CP$5:$CP$7)))</f>
        <v>18159557.379975002</v>
      </c>
      <c r="FO5" s="13">
        <f t="shared" si="34"/>
        <v>0</v>
      </c>
      <c r="FP5" s="13">
        <f t="shared" si="35"/>
        <v>0</v>
      </c>
      <c r="FQ5" s="13">
        <f t="shared" si="36"/>
        <v>48500000</v>
      </c>
      <c r="FR5" s="13">
        <f t="shared" si="37"/>
        <v>0</v>
      </c>
      <c r="FS5" s="13">
        <f t="shared" si="38"/>
        <v>0</v>
      </c>
      <c r="FT5" s="13">
        <f t="shared" si="39"/>
        <v>0</v>
      </c>
      <c r="FU5" s="13">
        <f t="shared" si="39"/>
        <v>4262786.7296848418</v>
      </c>
      <c r="FV5" s="13">
        <f t="shared" si="39"/>
        <v>0</v>
      </c>
      <c r="FW5" s="13">
        <f t="shared" si="39"/>
        <v>18159557.379975002</v>
      </c>
      <c r="FX5" s="13">
        <f t="shared" si="40"/>
        <v>52762786.729684845</v>
      </c>
    </row>
    <row r="6" spans="1:180" s="8" customFormat="1" x14ac:dyDescent="0.3">
      <c r="A6" s="8">
        <v>5</v>
      </c>
      <c r="B6" s="8" t="s">
        <v>123</v>
      </c>
      <c r="C6" s="8" t="s">
        <v>124</v>
      </c>
      <c r="D6" s="8" t="s">
        <v>116</v>
      </c>
      <c r="F6" s="8">
        <f t="shared" si="41"/>
        <v>10</v>
      </c>
      <c r="G6" s="8">
        <f t="shared" si="0"/>
        <v>27.395866779191898</v>
      </c>
      <c r="H6" s="8">
        <f>(2*EA6)/$F6/$CI6</f>
        <v>49.436178572716734</v>
      </c>
      <c r="I6" s="8">
        <f t="shared" si="7"/>
        <v>0.55416635286432447</v>
      </c>
      <c r="J6" s="8">
        <f t="shared" si="1"/>
        <v>2</v>
      </c>
      <c r="K6" s="8">
        <f t="shared" si="8"/>
        <v>10</v>
      </c>
      <c r="M6" s="10">
        <f t="shared" si="9"/>
        <v>844155.58481270948</v>
      </c>
      <c r="N6" s="10">
        <f t="shared" si="10"/>
        <v>836673.98442443879</v>
      </c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>
        <v>656998.12578112201</v>
      </c>
      <c r="AG6" s="10">
        <v>713583.02925619599</v>
      </c>
      <c r="AH6" s="10">
        <v>816661.39421851898</v>
      </c>
      <c r="AI6" s="10">
        <v>891212.64700346696</v>
      </c>
      <c r="AJ6" s="10">
        <v>933096.97290029295</v>
      </c>
      <c r="AK6" s="11"/>
      <c r="AL6" s="22">
        <v>3.2888721496165063E-2</v>
      </c>
      <c r="AM6" s="22">
        <v>2.8843039908195367E-2</v>
      </c>
      <c r="AN6" s="22">
        <v>2.3508826348185297E-2</v>
      </c>
      <c r="AO6" s="22">
        <v>1.727558717854083E-2</v>
      </c>
      <c r="AP6" s="22">
        <v>9.7904355801925469E-3</v>
      </c>
      <c r="AQ6" s="22">
        <v>1.8178580442596015E-3</v>
      </c>
      <c r="AR6" s="22">
        <v>-3.3449229627590116E-3</v>
      </c>
      <c r="AS6" s="22">
        <v>-1.1079319634054174E-3</v>
      </c>
      <c r="AT6" s="22">
        <v>4.8934098997499564E-3</v>
      </c>
      <c r="AU6" s="22">
        <v>1.5235248091937992E-2</v>
      </c>
      <c r="AV6" s="22">
        <v>1.6126764918219072E-2</v>
      </c>
      <c r="AW6" s="22">
        <v>2.1540722483505803E-2</v>
      </c>
      <c r="AX6" s="22">
        <v>2.7613026747848268E-2</v>
      </c>
      <c r="AY6" s="22">
        <v>2.6978579088403398E-2</v>
      </c>
      <c r="AZ6" s="22">
        <v>2.5079662791946955E-2</v>
      </c>
      <c r="BA6" s="22">
        <v>2.5870185947085789E-2</v>
      </c>
      <c r="BB6" s="22">
        <v>2.6893536703573639E-2</v>
      </c>
      <c r="BC6" s="22">
        <v>2.3026535336124088E-2</v>
      </c>
      <c r="BD6" s="22">
        <v>1.6693942729572031E-2</v>
      </c>
      <c r="BE6" s="22">
        <v>2.2786008601595631E-2</v>
      </c>
      <c r="BF6" s="22">
        <v>0</v>
      </c>
      <c r="BG6" s="11"/>
      <c r="BH6" s="10" t="str">
        <f t="shared" si="11"/>
        <v>NaN</v>
      </c>
      <c r="BI6" s="10" t="str">
        <f t="shared" si="12"/>
        <v>NaN</v>
      </c>
      <c r="BJ6" s="10" t="str">
        <f t="shared" si="13"/>
        <v>NaN</v>
      </c>
      <c r="BK6" s="10" t="str">
        <f t="shared" si="14"/>
        <v>NaN</v>
      </c>
      <c r="BL6" s="10" t="str">
        <f t="shared" si="15"/>
        <v>NaN</v>
      </c>
      <c r="BM6" s="10" t="str">
        <f t="shared" si="16"/>
        <v>NaN</v>
      </c>
      <c r="BN6" s="10" t="str">
        <f t="shared" si="17"/>
        <v>NaN</v>
      </c>
      <c r="BO6" s="10" t="str">
        <f t="shared" si="18"/>
        <v>NaN</v>
      </c>
      <c r="BP6" s="10" t="str">
        <f t="shared" si="19"/>
        <v>NaN</v>
      </c>
      <c r="BQ6" s="10" t="str">
        <f t="shared" si="20"/>
        <v>NaN</v>
      </c>
      <c r="BR6" s="10" t="str">
        <f t="shared" si="21"/>
        <v>NaN</v>
      </c>
      <c r="BS6" s="10" t="str">
        <f t="shared" si="22"/>
        <v>NaN</v>
      </c>
      <c r="BT6" s="10" t="str">
        <f t="shared" si="23"/>
        <v>NaN</v>
      </c>
      <c r="BU6" s="10" t="str">
        <f t="shared" si="24"/>
        <v>NaN</v>
      </c>
      <c r="BV6" s="10" t="str">
        <f t="shared" si="25"/>
        <v>NaN</v>
      </c>
      <c r="BW6" s="10" t="str">
        <f t="shared" si="26"/>
        <v>NaN</v>
      </c>
      <c r="BX6" s="10">
        <f t="shared" si="27"/>
        <v>730576.69151664467</v>
      </c>
      <c r="BY6" s="10">
        <f t="shared" si="28"/>
        <v>764020.84684860799</v>
      </c>
      <c r="BZ6" s="10">
        <f t="shared" si="29"/>
        <v>844155.58481270948</v>
      </c>
      <c r="CA6" s="10">
        <f t="shared" si="30"/>
        <v>911519.82604393875</v>
      </c>
      <c r="CB6" s="10">
        <f t="shared" si="31"/>
        <v>933096.97290029295</v>
      </c>
      <c r="CC6" s="12"/>
      <c r="CD6" s="13" t="s">
        <v>123</v>
      </c>
      <c r="CE6" s="13" t="s">
        <v>124</v>
      </c>
      <c r="CF6" s="13">
        <v>5</v>
      </c>
      <c r="CG6" s="13">
        <v>25862.710002072101</v>
      </c>
      <c r="CH6" s="13">
        <v>49.737052032797898</v>
      </c>
      <c r="CI6" s="13">
        <v>519.98879999999997</v>
      </c>
      <c r="CJ6" s="11"/>
      <c r="CK6" s="13" t="s">
        <v>123</v>
      </c>
      <c r="CL6" s="13" t="s">
        <v>124</v>
      </c>
      <c r="CM6" s="14">
        <v>40108.2526100799</v>
      </c>
      <c r="CN6" s="13">
        <v>5</v>
      </c>
      <c r="CO6" s="14">
        <v>77.132918811989796</v>
      </c>
      <c r="CP6" s="14">
        <v>519.98878336035898</v>
      </c>
      <c r="CQ6" s="11"/>
      <c r="CT6" s="10"/>
      <c r="DP6" s="8">
        <f t="shared" si="2"/>
        <v>124527.81985072742</v>
      </c>
      <c r="DV6" s="8">
        <f t="shared" si="3"/>
        <v>43584.736947754594</v>
      </c>
      <c r="DX6" s="8">
        <f>912000*($CP6/(SUM($CP$5:$CP$7)))</f>
        <v>138842.76280564023</v>
      </c>
      <c r="DZ6" s="8">
        <f t="shared" si="4"/>
        <v>168112.55679848202</v>
      </c>
      <c r="EA6" s="8">
        <f t="shared" si="32"/>
        <v>128531.29586306342</v>
      </c>
      <c r="EB6" s="8">
        <f t="shared" si="33"/>
        <v>1.5932036827614568E-3</v>
      </c>
      <c r="EC6" s="8">
        <f t="shared" si="5"/>
        <v>247.1809007733722</v>
      </c>
      <c r="ED6" s="12"/>
      <c r="FJ6" s="8">
        <f t="shared" si="6"/>
        <v>857685.3592218851</v>
      </c>
      <c r="FL6" s="8">
        <f>24000000*($CP6/(SUM($CP$5:$CP$7)))</f>
        <v>3653756.9159379005</v>
      </c>
      <c r="FN6" s="12"/>
      <c r="FO6" s="8">
        <f t="shared" si="34"/>
        <v>0</v>
      </c>
      <c r="FP6" s="8">
        <f t="shared" si="35"/>
        <v>0</v>
      </c>
      <c r="FQ6" s="8">
        <f t="shared" si="36"/>
        <v>0</v>
      </c>
      <c r="FR6" s="8">
        <f t="shared" si="37"/>
        <v>0</v>
      </c>
      <c r="FS6" s="8">
        <f t="shared" si="38"/>
        <v>0</v>
      </c>
      <c r="FT6" s="8">
        <f t="shared" si="39"/>
        <v>0</v>
      </c>
      <c r="FU6" s="8">
        <f t="shared" si="39"/>
        <v>857685.3592218851</v>
      </c>
      <c r="FV6" s="8">
        <f t="shared" si="39"/>
        <v>0</v>
      </c>
      <c r="FW6" s="8">
        <f t="shared" si="39"/>
        <v>3653756.9159379005</v>
      </c>
      <c r="FX6" s="8">
        <f t="shared" si="40"/>
        <v>857685.3592218851</v>
      </c>
    </row>
    <row r="7" spans="1:180" x14ac:dyDescent="0.3">
      <c r="A7" s="13">
        <v>6</v>
      </c>
      <c r="B7" s="13" t="s">
        <v>125</v>
      </c>
      <c r="C7" s="13" t="s">
        <v>126</v>
      </c>
      <c r="D7" s="13" t="s">
        <v>116</v>
      </c>
      <c r="F7" s="13">
        <f t="shared" si="41"/>
        <v>10</v>
      </c>
      <c r="G7" s="13">
        <f t="shared" si="0"/>
        <v>37.005571910263399</v>
      </c>
      <c r="H7" s="13">
        <f>(2*EA7)/$F7/$CI7</f>
        <v>49.436178572716607</v>
      </c>
      <c r="I7" s="13">
        <f t="shared" si="7"/>
        <v>0.7485524362655015</v>
      </c>
      <c r="J7" s="13">
        <f t="shared" si="1"/>
        <v>2</v>
      </c>
      <c r="K7" s="13">
        <f t="shared" si="8"/>
        <v>10</v>
      </c>
      <c r="M7" s="14">
        <f t="shared" si="9"/>
        <v>1278925.6786006801</v>
      </c>
      <c r="N7" s="14">
        <f t="shared" si="10"/>
        <v>1278925.6786006801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>
        <v>1278925.6786006801</v>
      </c>
      <c r="AL7" s="23">
        <v>3.2888721496165063E-2</v>
      </c>
      <c r="AM7" s="23">
        <v>2.8843039908195367E-2</v>
      </c>
      <c r="AN7" s="23">
        <v>2.3508826348185297E-2</v>
      </c>
      <c r="AO7" s="23">
        <v>1.727558717854083E-2</v>
      </c>
      <c r="AP7" s="23">
        <v>9.7904355801925469E-3</v>
      </c>
      <c r="AQ7" s="23">
        <v>1.8178580442596015E-3</v>
      </c>
      <c r="AR7" s="23">
        <v>-3.3449229627590116E-3</v>
      </c>
      <c r="AS7" s="23">
        <v>-1.1079319634054174E-3</v>
      </c>
      <c r="AT7" s="23">
        <v>4.8934098997499564E-3</v>
      </c>
      <c r="AU7" s="23">
        <v>1.5235248091937992E-2</v>
      </c>
      <c r="AV7" s="23">
        <v>1.6126764918219072E-2</v>
      </c>
      <c r="AW7" s="23">
        <v>2.1540722483505803E-2</v>
      </c>
      <c r="AX7" s="23">
        <v>2.7613026747848268E-2</v>
      </c>
      <c r="AY7" s="23">
        <v>2.6978579088403398E-2</v>
      </c>
      <c r="AZ7" s="23">
        <v>2.5079662791946955E-2</v>
      </c>
      <c r="BA7" s="23">
        <v>2.5870185947085789E-2</v>
      </c>
      <c r="BB7" s="23">
        <v>2.6893536703573639E-2</v>
      </c>
      <c r="BC7" s="23">
        <v>2.3026535336124088E-2</v>
      </c>
      <c r="BD7" s="23">
        <v>1.6693942729572031E-2</v>
      </c>
      <c r="BE7" s="23">
        <v>2.2786008601595631E-2</v>
      </c>
      <c r="BF7" s="23">
        <v>0</v>
      </c>
      <c r="BH7" s="14" t="str">
        <f t="shared" si="11"/>
        <v>NaN</v>
      </c>
      <c r="BI7" s="14" t="str">
        <f t="shared" si="12"/>
        <v>NaN</v>
      </c>
      <c r="BJ7" s="14" t="str">
        <f t="shared" si="13"/>
        <v>NaN</v>
      </c>
      <c r="BK7" s="14" t="str">
        <f t="shared" si="14"/>
        <v>NaN</v>
      </c>
      <c r="BL7" s="14" t="str">
        <f t="shared" si="15"/>
        <v>NaN</v>
      </c>
      <c r="BM7" s="14" t="str">
        <f t="shared" si="16"/>
        <v>NaN</v>
      </c>
      <c r="BN7" s="14" t="str">
        <f t="shared" si="17"/>
        <v>NaN</v>
      </c>
      <c r="BO7" s="14" t="str">
        <f t="shared" si="18"/>
        <v>NaN</v>
      </c>
      <c r="BP7" s="14" t="str">
        <f t="shared" si="19"/>
        <v>NaN</v>
      </c>
      <c r="BQ7" s="14" t="str">
        <f t="shared" si="20"/>
        <v>NaN</v>
      </c>
      <c r="BR7" s="14" t="str">
        <f t="shared" si="21"/>
        <v>NaN</v>
      </c>
      <c r="BS7" s="14" t="str">
        <f t="shared" si="22"/>
        <v>NaN</v>
      </c>
      <c r="BT7" s="14" t="str">
        <f t="shared" si="23"/>
        <v>NaN</v>
      </c>
      <c r="BU7" s="14" t="str">
        <f t="shared" si="24"/>
        <v>NaN</v>
      </c>
      <c r="BV7" s="14" t="str">
        <f t="shared" si="25"/>
        <v>NaN</v>
      </c>
      <c r="BW7" s="14" t="str">
        <f t="shared" si="26"/>
        <v>NaN</v>
      </c>
      <c r="BX7" s="14" t="str">
        <f t="shared" si="27"/>
        <v>NaN</v>
      </c>
      <c r="BY7" s="14" t="str">
        <f t="shared" si="28"/>
        <v>NaN</v>
      </c>
      <c r="BZ7" s="14" t="str">
        <f t="shared" si="29"/>
        <v>NaN</v>
      </c>
      <c r="CA7" s="14" t="str">
        <f t="shared" si="30"/>
        <v>NaN</v>
      </c>
      <c r="CB7" s="14">
        <f t="shared" si="31"/>
        <v>1278925.6786006801</v>
      </c>
      <c r="CD7" s="13" t="s">
        <v>127</v>
      </c>
      <c r="CE7" s="13" t="s">
        <v>126</v>
      </c>
      <c r="CF7" s="13">
        <v>6</v>
      </c>
      <c r="CG7" s="13">
        <v>22571.821510687401</v>
      </c>
      <c r="CH7" s="13">
        <v>72.531373668343605</v>
      </c>
      <c r="CI7" s="13">
        <v>311.20080000000002</v>
      </c>
      <c r="CK7" s="13" t="s">
        <v>127</v>
      </c>
      <c r="CL7" s="13" t="s">
        <v>126</v>
      </c>
      <c r="CM7" s="14">
        <v>34087.984002803598</v>
      </c>
      <c r="CN7" s="13">
        <v>6</v>
      </c>
      <c r="CO7" s="14">
        <v>109.536945578607</v>
      </c>
      <c r="CP7" s="14">
        <v>311.20079004157401</v>
      </c>
      <c r="CT7" s="14"/>
      <c r="DP7" s="13">
        <f t="shared" si="2"/>
        <v>74526.907425317942</v>
      </c>
      <c r="DV7" s="13">
        <f t="shared" si="3"/>
        <v>26084.417598861277</v>
      </c>
      <c r="DX7" s="13">
        <f>912000*($CP7/(SUM($CP$5:$CP$7)))</f>
        <v>83094.056755309692</v>
      </c>
      <c r="DZ7" s="13">
        <f t="shared" si="4"/>
        <v>100611.32502417921</v>
      </c>
      <c r="EA7" s="13">
        <f t="shared" si="32"/>
        <v>76922.891603861339</v>
      </c>
      <c r="EB7" s="13">
        <f t="shared" si="33"/>
        <v>9.5349411494691889E-4</v>
      </c>
      <c r="EC7" s="13">
        <f t="shared" si="5"/>
        <v>247.1809007733722</v>
      </c>
      <c r="FJ7" s="13">
        <f t="shared" si="6"/>
        <v>513304.0748918773</v>
      </c>
      <c r="FL7" s="13">
        <f>24000000*($CP7/(SUM($CP$5:$CP$7)))</f>
        <v>2186685.7040870972</v>
      </c>
      <c r="FO7" s="13">
        <f t="shared" si="34"/>
        <v>0</v>
      </c>
      <c r="FP7" s="13">
        <f t="shared" si="35"/>
        <v>0</v>
      </c>
      <c r="FQ7" s="13">
        <f t="shared" si="36"/>
        <v>0</v>
      </c>
      <c r="FR7" s="13">
        <f t="shared" si="37"/>
        <v>0</v>
      </c>
      <c r="FS7" s="13">
        <f t="shared" si="38"/>
        <v>0</v>
      </c>
      <c r="FT7" s="13">
        <f t="shared" si="39"/>
        <v>0</v>
      </c>
      <c r="FU7" s="13">
        <f t="shared" si="39"/>
        <v>513304.0748918773</v>
      </c>
      <c r="FV7" s="13">
        <f t="shared" si="39"/>
        <v>0</v>
      </c>
      <c r="FW7" s="13">
        <f t="shared" si="39"/>
        <v>2186685.7040870972</v>
      </c>
      <c r="FX7" s="13">
        <f t="shared" si="40"/>
        <v>513304.0748918773</v>
      </c>
    </row>
    <row r="8" spans="1:180" s="8" customFormat="1" x14ac:dyDescent="0.3">
      <c r="A8" s="8">
        <v>7</v>
      </c>
      <c r="B8" s="8" t="s">
        <v>128</v>
      </c>
      <c r="C8" s="8" t="s">
        <v>129</v>
      </c>
      <c r="D8" s="8" t="s">
        <v>116</v>
      </c>
      <c r="F8" s="8">
        <f t="shared" si="41"/>
        <v>10</v>
      </c>
      <c r="G8" s="8">
        <f t="shared" si="0"/>
        <v>-3.7061246291316934</v>
      </c>
      <c r="H8" s="8">
        <f>(2*EA8)/$F8/$CI8</f>
        <v>86.975107987421268</v>
      </c>
      <c r="I8" s="8">
        <f t="shared" si="7"/>
        <v>-4.2611325411262377E-2</v>
      </c>
      <c r="J8" s="8">
        <f t="shared" si="1"/>
        <v>3</v>
      </c>
      <c r="K8" s="8">
        <f t="shared" si="8"/>
        <v>6.666666666666667</v>
      </c>
      <c r="M8" s="10">
        <f t="shared" si="9"/>
        <v>271430.70887905092</v>
      </c>
      <c r="N8" s="10">
        <f t="shared" si="10"/>
        <v>277197.93807704799</v>
      </c>
      <c r="O8" s="11"/>
      <c r="P8" s="10">
        <v>85329.660194380995</v>
      </c>
      <c r="Q8" s="10">
        <v>97183.487894405203</v>
      </c>
      <c r="R8" s="10">
        <v>119936.15915789999</v>
      </c>
      <c r="S8" s="10">
        <v>156033.58066483401</v>
      </c>
      <c r="T8" s="10">
        <v>194333.17706447799</v>
      </c>
      <c r="U8" s="10">
        <v>239622.266326307</v>
      </c>
      <c r="V8" s="10">
        <v>284466.16171998403</v>
      </c>
      <c r="W8" s="10">
        <v>260652.039152799</v>
      </c>
      <c r="X8" s="10">
        <v>228345.59340391101</v>
      </c>
      <c r="Y8" s="10">
        <v>220296.45067654201</v>
      </c>
      <c r="Z8" s="10">
        <v>228265.502219271</v>
      </c>
      <c r="AA8" s="10">
        <v>285196.116266503</v>
      </c>
      <c r="AB8" s="10">
        <v>231827.63475221599</v>
      </c>
      <c r="AC8" s="10">
        <v>230943.42776420899</v>
      </c>
      <c r="AD8" s="10">
        <v>255257.591546654</v>
      </c>
      <c r="AE8" s="10">
        <v>251898.99684738199</v>
      </c>
      <c r="AF8" s="10">
        <v>277177.19626410701</v>
      </c>
      <c r="AG8" s="10">
        <v>311115.695774358</v>
      </c>
      <c r="AH8" s="10">
        <v>354610.55852053402</v>
      </c>
      <c r="AI8" s="10">
        <v>396336.85739125399</v>
      </c>
      <c r="AJ8" s="10">
        <v>420867.76825362601</v>
      </c>
      <c r="AK8" s="11"/>
      <c r="AL8" s="22">
        <v>3.2888721496165063E-2</v>
      </c>
      <c r="AM8" s="22">
        <v>2.8843039908195367E-2</v>
      </c>
      <c r="AN8" s="22">
        <v>2.3508826348185297E-2</v>
      </c>
      <c r="AO8" s="22">
        <v>1.727558717854083E-2</v>
      </c>
      <c r="AP8" s="22">
        <v>9.7904355801925469E-3</v>
      </c>
      <c r="AQ8" s="22">
        <v>1.8178580442596015E-3</v>
      </c>
      <c r="AR8" s="22">
        <v>-3.3449229627590116E-3</v>
      </c>
      <c r="AS8" s="22">
        <v>-1.1079319634054174E-3</v>
      </c>
      <c r="AT8" s="22">
        <v>4.8934098997499564E-3</v>
      </c>
      <c r="AU8" s="22">
        <v>1.5235248091937992E-2</v>
      </c>
      <c r="AV8" s="22">
        <v>1.6126764918219072E-2</v>
      </c>
      <c r="AW8" s="22">
        <v>2.1540722483505803E-2</v>
      </c>
      <c r="AX8" s="22">
        <v>2.7613026747848268E-2</v>
      </c>
      <c r="AY8" s="22">
        <v>2.6978579088403398E-2</v>
      </c>
      <c r="AZ8" s="22">
        <v>2.5079662791946955E-2</v>
      </c>
      <c r="BA8" s="22">
        <v>2.5870185947085789E-2</v>
      </c>
      <c r="BB8" s="22">
        <v>2.6893536703573639E-2</v>
      </c>
      <c r="BC8" s="22">
        <v>2.3026535336124088E-2</v>
      </c>
      <c r="BD8" s="22">
        <v>1.6693942729572031E-2</v>
      </c>
      <c r="BE8" s="22">
        <v>2.2786008601595631E-2</v>
      </c>
      <c r="BF8" s="22">
        <v>0</v>
      </c>
      <c r="BG8" s="11"/>
      <c r="BH8" s="10">
        <f t="shared" si="11"/>
        <v>162993.66328535351</v>
      </c>
      <c r="BI8" s="10">
        <f t="shared" si="12"/>
        <v>166811.44195335434</v>
      </c>
      <c r="BJ8" s="10">
        <f t="shared" si="13"/>
        <v>182221.15561286829</v>
      </c>
      <c r="BK8" s="10">
        <f t="shared" si="14"/>
        <v>208773.15495242091</v>
      </c>
      <c r="BL8" s="10">
        <f t="shared" si="15"/>
        <v>227115.61621391951</v>
      </c>
      <c r="BM8" s="10">
        <f t="shared" si="16"/>
        <v>246240.05889530358</v>
      </c>
      <c r="BN8" s="10">
        <f t="shared" si="17"/>
        <v>271430.70887905092</v>
      </c>
      <c r="BO8" s="10">
        <f t="shared" si="18"/>
        <v>256922.69301677551</v>
      </c>
      <c r="BP8" s="10">
        <f t="shared" si="19"/>
        <v>242121.08564178625</v>
      </c>
      <c r="BQ8" s="10">
        <f t="shared" si="20"/>
        <v>260160.32383148727</v>
      </c>
      <c r="BR8" s="10">
        <f t="shared" si="21"/>
        <v>267866.98557577963</v>
      </c>
      <c r="BS8" s="10">
        <f t="shared" si="22"/>
        <v>345497.38332771498</v>
      </c>
      <c r="BT8" s="10">
        <f t="shared" si="23"/>
        <v>288271.70230987715</v>
      </c>
      <c r="BU8" s="10">
        <f t="shared" si="24"/>
        <v>278250.08340698393</v>
      </c>
      <c r="BV8" s="10">
        <f t="shared" si="25"/>
        <v>296158.61563123122</v>
      </c>
      <c r="BW8" s="10">
        <f t="shared" si="26"/>
        <v>286212.42292710079</v>
      </c>
      <c r="BX8" s="10">
        <f t="shared" si="27"/>
        <v>308218.83817360131</v>
      </c>
      <c r="BY8" s="10">
        <f t="shared" si="28"/>
        <v>333106.12445644138</v>
      </c>
      <c r="BZ8" s="10">
        <f t="shared" si="29"/>
        <v>366549.08084043092</v>
      </c>
      <c r="CA8" s="10">
        <f t="shared" si="30"/>
        <v>405367.79243290046</v>
      </c>
      <c r="CB8" s="10">
        <f t="shared" si="31"/>
        <v>420867.76825362601</v>
      </c>
      <c r="CC8" s="12"/>
      <c r="CD8" s="13" t="s">
        <v>128</v>
      </c>
      <c r="CE8" s="13" t="s">
        <v>129</v>
      </c>
      <c r="CF8" s="13">
        <v>7</v>
      </c>
      <c r="CG8" s="13">
        <v>138259.23080081699</v>
      </c>
      <c r="CH8" s="13">
        <v>87.823117185895299</v>
      </c>
      <c r="CI8" s="13">
        <v>1574.2919999999999</v>
      </c>
      <c r="CJ8" s="11"/>
      <c r="CK8" s="13" t="s">
        <v>128</v>
      </c>
      <c r="CL8" s="13" t="s">
        <v>129</v>
      </c>
      <c r="CM8" s="14">
        <v>132424.704208582</v>
      </c>
      <c r="CN8" s="13">
        <v>7</v>
      </c>
      <c r="CO8" s="14">
        <v>84.116992556763606</v>
      </c>
      <c r="CP8" s="14">
        <v>1574.29194962265</v>
      </c>
      <c r="CQ8" s="11"/>
      <c r="CT8" s="10"/>
      <c r="DM8" s="8">
        <f>1200000*($CP8/(SUM($CP$8:$CP$11)))</f>
        <v>386481.26208143582</v>
      </c>
      <c r="DP8" s="8">
        <f t="shared" si="2"/>
        <v>377014.17909085809</v>
      </c>
      <c r="DV8" s="8">
        <f t="shared" si="3"/>
        <v>131954.96268180033</v>
      </c>
      <c r="DZ8" s="8">
        <f t="shared" si="4"/>
        <v>895450.40385409421</v>
      </c>
      <c r="EA8" s="8">
        <f t="shared" si="32"/>
        <v>684621.08351866703</v>
      </c>
      <c r="EB8" s="8">
        <f t="shared" si="33"/>
        <v>8.4861887078470661E-3</v>
      </c>
      <c r="EC8" s="8">
        <f t="shared" si="5"/>
        <v>434.87555385312572</v>
      </c>
      <c r="ED8" s="12"/>
      <c r="FA8" s="8">
        <f>18300000*($CP8/(SUM($CP$8:$CP$11)))</f>
        <v>5893839.2467418965</v>
      </c>
      <c r="FJ8" s="8">
        <f t="shared" si="6"/>
        <v>2596685.1584882853</v>
      </c>
      <c r="FN8" s="12"/>
      <c r="FO8" s="8">
        <f t="shared" si="34"/>
        <v>5893839.2467418965</v>
      </c>
      <c r="FP8" s="8">
        <f t="shared" si="35"/>
        <v>0</v>
      </c>
      <c r="FQ8" s="8">
        <f t="shared" si="36"/>
        <v>0</v>
      </c>
      <c r="FR8" s="8">
        <f t="shared" si="37"/>
        <v>0</v>
      </c>
      <c r="FS8" s="8">
        <f t="shared" si="38"/>
        <v>0</v>
      </c>
      <c r="FT8" s="8">
        <f t="shared" si="39"/>
        <v>0</v>
      </c>
      <c r="FU8" s="8">
        <f t="shared" si="39"/>
        <v>2596685.1584882853</v>
      </c>
      <c r="FV8" s="8">
        <f t="shared" si="39"/>
        <v>0</v>
      </c>
      <c r="FW8" s="8">
        <f t="shared" si="39"/>
        <v>0</v>
      </c>
      <c r="FX8" s="8">
        <f t="shared" si="40"/>
        <v>8490524.4052301813</v>
      </c>
    </row>
    <row r="9" spans="1:180" x14ac:dyDescent="0.3">
      <c r="A9" s="13">
        <v>8</v>
      </c>
      <c r="B9" s="13" t="s">
        <v>130</v>
      </c>
      <c r="C9" s="13" t="s">
        <v>131</v>
      </c>
      <c r="D9" s="13" t="s">
        <v>116</v>
      </c>
      <c r="F9" s="13">
        <f t="shared" si="41"/>
        <v>10</v>
      </c>
      <c r="G9" s="13">
        <f t="shared" si="0"/>
        <v>-18.129718688449302</v>
      </c>
      <c r="H9" s="13">
        <f>(2*EA9)/$F9/$CI9</f>
        <v>86.97510798742168</v>
      </c>
      <c r="I9" s="13">
        <f t="shared" si="7"/>
        <v>-0.20844721102354041</v>
      </c>
      <c r="J9" s="13">
        <f t="shared" si="1"/>
        <v>3</v>
      </c>
      <c r="K9" s="13">
        <f t="shared" si="8"/>
        <v>6.666666666666667</v>
      </c>
      <c r="M9" s="14">
        <f t="shared" si="9"/>
        <v>296671.94307321013</v>
      </c>
      <c r="N9" s="14">
        <f t="shared" si="10"/>
        <v>298091.75737167458</v>
      </c>
      <c r="P9" s="14">
        <v>133157.34553383299</v>
      </c>
      <c r="Q9" s="14">
        <v>151700.381137244</v>
      </c>
      <c r="R9" s="14">
        <v>172074.203602872</v>
      </c>
      <c r="S9" s="14">
        <v>204755.30744393801</v>
      </c>
      <c r="T9" s="14">
        <v>243723.55643284001</v>
      </c>
      <c r="U9" s="14">
        <v>285874.91712749097</v>
      </c>
      <c r="V9" s="14">
        <v>317207.35930562299</v>
      </c>
      <c r="W9" s="14">
        <v>309242.55899713299</v>
      </c>
      <c r="X9" s="14">
        <v>279652.96499900398</v>
      </c>
      <c r="Y9" s="14">
        <v>283474.652456143</v>
      </c>
      <c r="Z9" s="14">
        <v>267542.30748451903</v>
      </c>
      <c r="AA9" s="14">
        <v>241640.654845918</v>
      </c>
      <c r="AB9" s="14">
        <v>233851.205543146</v>
      </c>
      <c r="AC9" s="14">
        <v>238962.19373967999</v>
      </c>
      <c r="AD9" s="14">
        <v>255700.02583557399</v>
      </c>
      <c r="AE9" s="14">
        <v>264693.76156935998</v>
      </c>
      <c r="AF9" s="14">
        <v>278993.48113158601</v>
      </c>
      <c r="AG9" s="14">
        <v>288481.82481847203</v>
      </c>
      <c r="AH9" s="14">
        <v>307223.09865137498</v>
      </c>
      <c r="AI9" s="14">
        <v>325864.742022219</v>
      </c>
      <c r="AJ9" s="14">
        <v>339617.64186450199</v>
      </c>
      <c r="AL9" s="23">
        <v>3.2888721496165063E-2</v>
      </c>
      <c r="AM9" s="23">
        <v>2.8843039908195367E-2</v>
      </c>
      <c r="AN9" s="23">
        <v>2.3508826348185297E-2</v>
      </c>
      <c r="AO9" s="23">
        <v>1.727558717854083E-2</v>
      </c>
      <c r="AP9" s="23">
        <v>9.7904355801925469E-3</v>
      </c>
      <c r="AQ9" s="23">
        <v>1.8178580442596015E-3</v>
      </c>
      <c r="AR9" s="23">
        <v>-3.3449229627590116E-3</v>
      </c>
      <c r="AS9" s="23">
        <v>-1.1079319634054174E-3</v>
      </c>
      <c r="AT9" s="23">
        <v>4.8934098997499564E-3</v>
      </c>
      <c r="AU9" s="23">
        <v>1.5235248091937992E-2</v>
      </c>
      <c r="AV9" s="23">
        <v>1.6126764918219072E-2</v>
      </c>
      <c r="AW9" s="23">
        <v>2.1540722483505803E-2</v>
      </c>
      <c r="AX9" s="23">
        <v>2.7613026747848268E-2</v>
      </c>
      <c r="AY9" s="23">
        <v>2.6978579088403398E-2</v>
      </c>
      <c r="AZ9" s="23">
        <v>2.5079662791946955E-2</v>
      </c>
      <c r="BA9" s="23">
        <v>2.5870185947085789E-2</v>
      </c>
      <c r="BB9" s="23">
        <v>2.6893536703573639E-2</v>
      </c>
      <c r="BC9" s="23">
        <v>2.3026535336124088E-2</v>
      </c>
      <c r="BD9" s="23">
        <v>1.6693942729572031E-2</v>
      </c>
      <c r="BE9" s="23">
        <v>2.2786008601595631E-2</v>
      </c>
      <c r="BF9" s="23">
        <v>0</v>
      </c>
      <c r="BH9" s="14">
        <f t="shared" si="11"/>
        <v>254352.39625321107</v>
      </c>
      <c r="BI9" s="14">
        <f t="shared" si="12"/>
        <v>260387.43690566719</v>
      </c>
      <c r="BJ9" s="14">
        <f t="shared" si="13"/>
        <v>261435.42074245238</v>
      </c>
      <c r="BK9" s="14">
        <f t="shared" si="14"/>
        <v>273962.89533435053</v>
      </c>
      <c r="BL9" s="14">
        <f t="shared" si="15"/>
        <v>284837.75411507156</v>
      </c>
      <c r="BM9" s="14">
        <f t="shared" si="16"/>
        <v>293770.09703390492</v>
      </c>
      <c r="BN9" s="14">
        <f t="shared" si="17"/>
        <v>302671.56514288654</v>
      </c>
      <c r="BO9" s="14">
        <f t="shared" si="18"/>
        <v>304817.99149235355</v>
      </c>
      <c r="BP9" s="14">
        <f t="shared" si="19"/>
        <v>296523.69673162076</v>
      </c>
      <c r="BQ9" s="14">
        <f t="shared" si="20"/>
        <v>334770.97408751637</v>
      </c>
      <c r="BR9" s="14">
        <f t="shared" si="21"/>
        <v>313957.87240344624</v>
      </c>
      <c r="BS9" s="14">
        <f t="shared" si="22"/>
        <v>292732.6467406943</v>
      </c>
      <c r="BT9" s="14">
        <f t="shared" si="23"/>
        <v>290787.96055177931</v>
      </c>
      <c r="BU9" s="14">
        <f t="shared" si="24"/>
        <v>287911.42048462509</v>
      </c>
      <c r="BV9" s="14">
        <f t="shared" si="25"/>
        <v>296671.94307321013</v>
      </c>
      <c r="BW9" s="14">
        <f t="shared" si="26"/>
        <v>300750.07753347553</v>
      </c>
      <c r="BX9" s="14">
        <f t="shared" si="27"/>
        <v>310238.53250340919</v>
      </c>
      <c r="BY9" s="14">
        <f t="shared" si="28"/>
        <v>308872.43538846675</v>
      </c>
      <c r="BZ9" s="14">
        <f t="shared" si="29"/>
        <v>317566.24758563028</v>
      </c>
      <c r="CA9" s="14">
        <f t="shared" si="30"/>
        <v>333289.89883689402</v>
      </c>
      <c r="CB9" s="14">
        <f t="shared" si="31"/>
        <v>339617.64186450199</v>
      </c>
      <c r="CD9" s="13" t="s">
        <v>132</v>
      </c>
      <c r="CE9" s="13" t="s">
        <v>131</v>
      </c>
      <c r="CF9" s="13">
        <v>8</v>
      </c>
      <c r="CG9" s="13">
        <v>108041.953172918</v>
      </c>
      <c r="CH9" s="13">
        <v>109.30260570609001</v>
      </c>
      <c r="CI9" s="13">
        <v>988.46640000000002</v>
      </c>
      <c r="CK9" s="13" t="s">
        <v>132</v>
      </c>
      <c r="CL9" s="13" t="s">
        <v>131</v>
      </c>
      <c r="CM9" s="14">
        <v>90121.332524051395</v>
      </c>
      <c r="CN9" s="13">
        <v>8</v>
      </c>
      <c r="CO9" s="14">
        <v>91.172887017640704</v>
      </c>
      <c r="CP9" s="14">
        <v>988.46636836907601</v>
      </c>
      <c r="CT9" s="14"/>
      <c r="DM9" s="13">
        <f>1200000*($CP9/(SUM($CP$8:$CP$11)))</f>
        <v>242663.83987030052</v>
      </c>
      <c r="DP9" s="13">
        <f t="shared" si="2"/>
        <v>236719.64816876253</v>
      </c>
      <c r="DV9" s="13">
        <f t="shared" si="3"/>
        <v>82851.876859066891</v>
      </c>
      <c r="DZ9" s="13">
        <f t="shared" si="4"/>
        <v>562235.36489812995</v>
      </c>
      <c r="EA9" s="13">
        <f t="shared" si="32"/>
        <v>429859.85940968973</v>
      </c>
      <c r="EB9" s="13">
        <f t="shared" si="33"/>
        <v>5.3283078372794125E-3</v>
      </c>
      <c r="EC9" s="13">
        <f t="shared" si="5"/>
        <v>434.87555385312572</v>
      </c>
      <c r="FA9" s="13">
        <f>18300000*($CP9/(SUM($CP$8:$CP$11)))</f>
        <v>3700623.5580220828</v>
      </c>
      <c r="FJ9" s="13">
        <f t="shared" si="6"/>
        <v>1630406.5767623519</v>
      </c>
      <c r="FO9" s="13">
        <f t="shared" si="34"/>
        <v>3700623.5580220828</v>
      </c>
      <c r="FP9" s="13">
        <f t="shared" si="35"/>
        <v>0</v>
      </c>
      <c r="FQ9" s="13">
        <f t="shared" si="36"/>
        <v>0</v>
      </c>
      <c r="FR9" s="13">
        <f t="shared" si="37"/>
        <v>0</v>
      </c>
      <c r="FS9" s="13">
        <f t="shared" si="38"/>
        <v>0</v>
      </c>
      <c r="FT9" s="13">
        <f t="shared" si="39"/>
        <v>0</v>
      </c>
      <c r="FU9" s="13">
        <f t="shared" si="39"/>
        <v>1630406.5767623519</v>
      </c>
      <c r="FV9" s="13">
        <f t="shared" si="39"/>
        <v>0</v>
      </c>
      <c r="FW9" s="13">
        <f t="shared" si="39"/>
        <v>0</v>
      </c>
      <c r="FX9" s="13">
        <f t="shared" si="40"/>
        <v>5331030.1347844349</v>
      </c>
    </row>
    <row r="10" spans="1:180" s="8" customFormat="1" x14ac:dyDescent="0.3">
      <c r="A10" s="8">
        <v>9</v>
      </c>
      <c r="B10" s="8" t="s">
        <v>133</v>
      </c>
      <c r="C10" s="8" t="s">
        <v>134</v>
      </c>
      <c r="D10" s="8" t="s">
        <v>116</v>
      </c>
      <c r="F10" s="8">
        <f t="shared" si="41"/>
        <v>10</v>
      </c>
      <c r="G10" s="8">
        <f t="shared" si="0"/>
        <v>-26.478850622589007</v>
      </c>
      <c r="H10" s="8">
        <f>(2*EA10)/$F10/$CI10</f>
        <v>86.97510798742141</v>
      </c>
      <c r="I10" s="8">
        <f t="shared" si="7"/>
        <v>-0.30444171022378558</v>
      </c>
      <c r="J10" s="8">
        <f t="shared" si="1"/>
        <v>3</v>
      </c>
      <c r="K10" s="8">
        <f t="shared" si="8"/>
        <v>6.666666666666667</v>
      </c>
      <c r="M10" s="10">
        <f t="shared" si="9"/>
        <v>532113.18129158614</v>
      </c>
      <c r="N10" s="10">
        <f t="shared" si="10"/>
        <v>511932.13582014851</v>
      </c>
      <c r="O10" s="11"/>
      <c r="P10" s="10">
        <v>176473.89142178599</v>
      </c>
      <c r="Q10" s="10">
        <v>208611.02408232901</v>
      </c>
      <c r="R10" s="10">
        <v>261675.02635673201</v>
      </c>
      <c r="S10" s="10">
        <v>328616.11576076702</v>
      </c>
      <c r="T10" s="10">
        <v>405607.11310660897</v>
      </c>
      <c r="U10" s="10">
        <v>477568.86615180701</v>
      </c>
      <c r="V10" s="10">
        <v>549561.50355988403</v>
      </c>
      <c r="W10" s="10">
        <v>527644.30492480798</v>
      </c>
      <c r="X10" s="10">
        <v>497442.77471595199</v>
      </c>
      <c r="Y10" s="10">
        <v>466740.30120142503</v>
      </c>
      <c r="Z10" s="10">
        <v>454402.08632822102</v>
      </c>
      <c r="AA10" s="10">
        <v>456007.30214465503</v>
      </c>
      <c r="AB10" s="10">
        <v>445308.759700756</v>
      </c>
      <c r="AC10" s="10">
        <v>441410.34621505899</v>
      </c>
      <c r="AD10" s="10">
        <v>458625.62126453599</v>
      </c>
      <c r="AE10" s="10">
        <v>471576.09041364701</v>
      </c>
      <c r="AF10" s="10">
        <v>495726.60230937297</v>
      </c>
      <c r="AG10" s="10">
        <v>515819.33852106699</v>
      </c>
      <c r="AH10" s="10">
        <v>553049.66148139501</v>
      </c>
      <c r="AI10" s="10">
        <v>581337.84797701996</v>
      </c>
      <c r="AJ10" s="10">
        <v>621317.01754081994</v>
      </c>
      <c r="AK10" s="11"/>
      <c r="AL10" s="22">
        <v>3.2888721496165063E-2</v>
      </c>
      <c r="AM10" s="22">
        <v>2.8843039908195367E-2</v>
      </c>
      <c r="AN10" s="22">
        <v>2.3508826348185297E-2</v>
      </c>
      <c r="AO10" s="22">
        <v>1.727558717854083E-2</v>
      </c>
      <c r="AP10" s="22">
        <v>9.7904355801925469E-3</v>
      </c>
      <c r="AQ10" s="22">
        <v>1.8178580442596015E-3</v>
      </c>
      <c r="AR10" s="22">
        <v>-3.3449229627590116E-3</v>
      </c>
      <c r="AS10" s="22">
        <v>-1.1079319634054174E-3</v>
      </c>
      <c r="AT10" s="22">
        <v>4.8934098997499564E-3</v>
      </c>
      <c r="AU10" s="22">
        <v>1.5235248091937992E-2</v>
      </c>
      <c r="AV10" s="22">
        <v>1.6126764918219072E-2</v>
      </c>
      <c r="AW10" s="22">
        <v>2.1540722483505803E-2</v>
      </c>
      <c r="AX10" s="22">
        <v>2.7613026747848268E-2</v>
      </c>
      <c r="AY10" s="22">
        <v>2.6978579088403398E-2</v>
      </c>
      <c r="AZ10" s="22">
        <v>2.5079662791946955E-2</v>
      </c>
      <c r="BA10" s="22">
        <v>2.5870185947085789E-2</v>
      </c>
      <c r="BB10" s="22">
        <v>2.6893536703573639E-2</v>
      </c>
      <c r="BC10" s="22">
        <v>2.3026535336124088E-2</v>
      </c>
      <c r="BD10" s="22">
        <v>1.6693942729572031E-2</v>
      </c>
      <c r="BE10" s="22">
        <v>2.2786008601595631E-2</v>
      </c>
      <c r="BF10" s="22">
        <v>0</v>
      </c>
      <c r="BG10" s="11"/>
      <c r="BH10" s="10">
        <f t="shared" si="11"/>
        <v>337094.11207701906</v>
      </c>
      <c r="BI10" s="10">
        <f t="shared" si="12"/>
        <v>358072.20432703331</v>
      </c>
      <c r="BJ10" s="10">
        <f t="shared" si="13"/>
        <v>397567.55621109687</v>
      </c>
      <c r="BK10" s="10">
        <f t="shared" si="14"/>
        <v>439688.83469356538</v>
      </c>
      <c r="BL10" s="10">
        <f t="shared" si="15"/>
        <v>474029.76077209896</v>
      </c>
      <c r="BM10" s="10">
        <f t="shared" si="16"/>
        <v>490758.17339798668</v>
      </c>
      <c r="BN10" s="10">
        <f t="shared" si="17"/>
        <v>524378.25146574259</v>
      </c>
      <c r="BO10" s="10">
        <f t="shared" si="18"/>
        <v>520094.89822857804</v>
      </c>
      <c r="BP10" s="10">
        <f t="shared" si="19"/>
        <v>527452.19587331847</v>
      </c>
      <c r="BQ10" s="10">
        <f t="shared" si="20"/>
        <v>551199.56555295817</v>
      </c>
      <c r="BR10" s="10">
        <f t="shared" si="21"/>
        <v>533235.70982339082</v>
      </c>
      <c r="BS10" s="10">
        <f t="shared" si="22"/>
        <v>552424.52713516704</v>
      </c>
      <c r="BT10" s="10">
        <f t="shared" si="23"/>
        <v>553729.9914638839</v>
      </c>
      <c r="BU10" s="10">
        <f t="shared" si="24"/>
        <v>531829.23125418567</v>
      </c>
      <c r="BV10" s="10">
        <f t="shared" si="25"/>
        <v>532113.18129158614</v>
      </c>
      <c r="BW10" s="10">
        <f t="shared" si="26"/>
        <v>535813.70756134565</v>
      </c>
      <c r="BX10" s="10">
        <f t="shared" si="27"/>
        <v>551244.03982337145</v>
      </c>
      <c r="BY10" s="10">
        <f t="shared" si="28"/>
        <v>552278.72816502035</v>
      </c>
      <c r="BZ10" s="10">
        <f t="shared" si="29"/>
        <v>571668.94838349312</v>
      </c>
      <c r="CA10" s="10">
        <f t="shared" si="30"/>
        <v>594584.21718145744</v>
      </c>
      <c r="CB10" s="10">
        <f t="shared" si="31"/>
        <v>621317.01754081994</v>
      </c>
      <c r="CC10" s="12"/>
      <c r="CD10" s="13" t="s">
        <v>133</v>
      </c>
      <c r="CE10" s="13" t="s">
        <v>134</v>
      </c>
      <c r="CF10" s="13">
        <v>9</v>
      </c>
      <c r="CG10" s="13">
        <v>190997.69756394799</v>
      </c>
      <c r="CH10" s="13">
        <v>131.562642457159</v>
      </c>
      <c r="CI10" s="13">
        <v>1451.7624000000001</v>
      </c>
      <c r="CJ10" s="11"/>
      <c r="CK10" s="13" t="s">
        <v>133</v>
      </c>
      <c r="CL10" s="13" t="s">
        <v>134</v>
      </c>
      <c r="CM10" s="14">
        <v>152556.69295304199</v>
      </c>
      <c r="CN10" s="13">
        <v>9</v>
      </c>
      <c r="CO10" s="14">
        <v>105.08379183456999</v>
      </c>
      <c r="CP10" s="14">
        <v>1451.7623535436001</v>
      </c>
      <c r="CQ10" s="11"/>
      <c r="CT10" s="10"/>
      <c r="DM10" s="8">
        <f>1200000*($CP10/(SUM($CP$8:$CP$11)))</f>
        <v>356400.82309658895</v>
      </c>
      <c r="DP10" s="8">
        <f t="shared" si="2"/>
        <v>347670.57793025364</v>
      </c>
      <c r="DV10" s="8">
        <f t="shared" si="3"/>
        <v>121684.70227558877</v>
      </c>
      <c r="DZ10" s="8">
        <f t="shared" si="4"/>
        <v>825756.10330243141</v>
      </c>
      <c r="EA10" s="8">
        <f t="shared" si="32"/>
        <v>631335.95756039047</v>
      </c>
      <c r="EB10" s="8">
        <f t="shared" si="33"/>
        <v>7.8256954144192929E-3</v>
      </c>
      <c r="EC10" s="8">
        <f t="shared" si="5"/>
        <v>434.87555385312578</v>
      </c>
      <c r="ED10" s="12"/>
      <c r="FA10" s="8">
        <f>18300000*($CP10/(SUM($CP$8:$CP$11)))</f>
        <v>5435112.5522229811</v>
      </c>
      <c r="FJ10" s="8">
        <f t="shared" si="6"/>
        <v>2394581.1054946217</v>
      </c>
      <c r="FN10" s="12"/>
      <c r="FO10" s="8">
        <f t="shared" si="34"/>
        <v>5435112.5522229811</v>
      </c>
      <c r="FP10" s="8">
        <f t="shared" si="35"/>
        <v>0</v>
      </c>
      <c r="FQ10" s="8">
        <f t="shared" si="36"/>
        <v>0</v>
      </c>
      <c r="FR10" s="8">
        <f t="shared" si="37"/>
        <v>0</v>
      </c>
      <c r="FS10" s="8">
        <f t="shared" si="38"/>
        <v>0</v>
      </c>
      <c r="FT10" s="8">
        <f t="shared" si="39"/>
        <v>0</v>
      </c>
      <c r="FU10" s="8">
        <f t="shared" si="39"/>
        <v>2394581.1054946217</v>
      </c>
      <c r="FV10" s="8">
        <f t="shared" si="39"/>
        <v>0</v>
      </c>
      <c r="FW10" s="8">
        <f t="shared" si="39"/>
        <v>0</v>
      </c>
      <c r="FX10" s="8">
        <f t="shared" si="40"/>
        <v>7829693.6577176023</v>
      </c>
    </row>
    <row r="11" spans="1:180" x14ac:dyDescent="0.3">
      <c r="A11" s="13">
        <v>10</v>
      </c>
      <c r="B11" s="13" t="s">
        <v>135</v>
      </c>
      <c r="C11" s="13" t="s">
        <v>136</v>
      </c>
      <c r="D11" s="13" t="s">
        <v>116</v>
      </c>
      <c r="F11" s="13">
        <f t="shared" si="41"/>
        <v>10</v>
      </c>
      <c r="G11" s="13">
        <f t="shared" si="0"/>
        <v>-19.854286944445292</v>
      </c>
      <c r="H11" s="13">
        <f>(2*EA11)/$F11/$CI11</f>
        <v>86.975107987421666</v>
      </c>
      <c r="I11" s="13">
        <f t="shared" si="7"/>
        <v>-0.2282755078305464</v>
      </c>
      <c r="J11" s="13">
        <f t="shared" si="1"/>
        <v>3</v>
      </c>
      <c r="K11" s="13">
        <f t="shared" si="8"/>
        <v>6.666666666666667</v>
      </c>
      <c r="M11" s="14">
        <f t="shared" si="9"/>
        <v>992009.50906244456</v>
      </c>
      <c r="N11" s="14">
        <f t="shared" si="10"/>
        <v>933719.86023951182</v>
      </c>
      <c r="P11" s="14">
        <v>324860.73586858902</v>
      </c>
      <c r="Q11" s="14">
        <v>402104.73947252502</v>
      </c>
      <c r="R11" s="14">
        <v>467306.59863345203</v>
      </c>
      <c r="S11" s="14">
        <v>591919.08777455997</v>
      </c>
      <c r="T11" s="14">
        <v>708367.846763612</v>
      </c>
      <c r="U11" s="14">
        <v>818530.22213204205</v>
      </c>
      <c r="V11" s="14">
        <v>965612.54916624399</v>
      </c>
      <c r="W11" s="14">
        <v>963319.96749255306</v>
      </c>
      <c r="X11" s="14">
        <v>970430.95190880203</v>
      </c>
      <c r="Y11" s="14">
        <v>923689.28534094396</v>
      </c>
      <c r="Z11" s="14">
        <v>845350.71877445304</v>
      </c>
      <c r="AA11" s="14">
        <v>846951.51340501395</v>
      </c>
      <c r="AB11" s="14">
        <v>814778.19863598503</v>
      </c>
      <c r="AC11" s="14">
        <v>836159.22285734105</v>
      </c>
      <c r="AD11" s="14">
        <v>888763.98938048503</v>
      </c>
      <c r="AE11" s="14">
        <v>885342.67272216303</v>
      </c>
      <c r="AF11" s="14">
        <v>899929.54810794303</v>
      </c>
      <c r="AG11" s="14">
        <v>923642.96824840095</v>
      </c>
      <c r="AH11" s="14">
        <v>951232.55661915801</v>
      </c>
      <c r="AI11" s="14">
        <v>995957.90368267102</v>
      </c>
      <c r="AJ11" s="14">
        <v>1068393.3918636199</v>
      </c>
      <c r="AL11" s="23">
        <v>3.2888721496165063E-2</v>
      </c>
      <c r="AM11" s="23">
        <v>2.8843039908195367E-2</v>
      </c>
      <c r="AN11" s="23">
        <v>2.3508826348185297E-2</v>
      </c>
      <c r="AO11" s="23">
        <v>1.727558717854083E-2</v>
      </c>
      <c r="AP11" s="23">
        <v>9.7904355801925469E-3</v>
      </c>
      <c r="AQ11" s="23">
        <v>1.8178580442596015E-3</v>
      </c>
      <c r="AR11" s="23">
        <v>-3.3449229627590116E-3</v>
      </c>
      <c r="AS11" s="23">
        <v>-1.1079319634054174E-3</v>
      </c>
      <c r="AT11" s="23">
        <v>4.8934098997499564E-3</v>
      </c>
      <c r="AU11" s="23">
        <v>1.5235248091937992E-2</v>
      </c>
      <c r="AV11" s="23">
        <v>1.6126764918219072E-2</v>
      </c>
      <c r="AW11" s="23">
        <v>2.1540722483505803E-2</v>
      </c>
      <c r="AX11" s="23">
        <v>2.7613026747848268E-2</v>
      </c>
      <c r="AY11" s="23">
        <v>2.6978579088403398E-2</v>
      </c>
      <c r="AZ11" s="23">
        <v>2.5079662791946955E-2</v>
      </c>
      <c r="BA11" s="23">
        <v>2.5870185947085789E-2</v>
      </c>
      <c r="BB11" s="23">
        <v>2.6893536703573639E-2</v>
      </c>
      <c r="BC11" s="23">
        <v>2.3026535336124088E-2</v>
      </c>
      <c r="BD11" s="23">
        <v>1.6693942729572031E-2</v>
      </c>
      <c r="BE11" s="23">
        <v>2.2786008601595631E-2</v>
      </c>
      <c r="BF11" s="23">
        <v>0</v>
      </c>
      <c r="BH11" s="14">
        <f t="shared" si="11"/>
        <v>620537.35214902181</v>
      </c>
      <c r="BI11" s="14">
        <f t="shared" si="12"/>
        <v>690196.17283720977</v>
      </c>
      <c r="BJ11" s="14">
        <f t="shared" si="13"/>
        <v>709987.28845734883</v>
      </c>
      <c r="BK11" s="14">
        <f t="shared" si="14"/>
        <v>791988.589281313</v>
      </c>
      <c r="BL11" s="14">
        <f t="shared" si="15"/>
        <v>827863.78761494777</v>
      </c>
      <c r="BM11" s="14">
        <f t="shared" si="16"/>
        <v>841136.06467151665</v>
      </c>
      <c r="BN11" s="14">
        <f t="shared" si="17"/>
        <v>921364.06361294258</v>
      </c>
      <c r="BO11" s="14">
        <f t="shared" si="18"/>
        <v>949537.01912123186</v>
      </c>
      <c r="BP11" s="14">
        <f t="shared" si="19"/>
        <v>1028974.5123346307</v>
      </c>
      <c r="BQ11" s="14">
        <f t="shared" si="20"/>
        <v>1090836.0205349592</v>
      </c>
      <c r="BR11" s="14">
        <f t="shared" si="21"/>
        <v>992009.50906244456</v>
      </c>
      <c r="BS11" s="14">
        <f t="shared" si="22"/>
        <v>1026029.1602759436</v>
      </c>
      <c r="BT11" s="14">
        <f t="shared" si="23"/>
        <v>1013155.7377825747</v>
      </c>
      <c r="BU11" s="14">
        <f t="shared" si="24"/>
        <v>1007438.8163109756</v>
      </c>
      <c r="BV11" s="14">
        <f t="shared" si="25"/>
        <v>1031174.4740790847</v>
      </c>
      <c r="BW11" s="14">
        <f t="shared" si="26"/>
        <v>1005943.154406806</v>
      </c>
      <c r="BX11" s="14">
        <f t="shared" si="27"/>
        <v>1000714.5013893154</v>
      </c>
      <c r="BY11" s="14">
        <f t="shared" si="28"/>
        <v>988928.34310041554</v>
      </c>
      <c r="BZ11" s="14">
        <f t="shared" si="29"/>
        <v>983257.29710063129</v>
      </c>
      <c r="CA11" s="14">
        <f t="shared" si="30"/>
        <v>1018651.8090428115</v>
      </c>
      <c r="CB11" s="14">
        <f t="shared" si="31"/>
        <v>1068393.3918636199</v>
      </c>
      <c r="CD11" s="13" t="s">
        <v>137</v>
      </c>
      <c r="CE11" s="13" t="s">
        <v>136</v>
      </c>
      <c r="CF11" s="13">
        <v>10</v>
      </c>
      <c r="CG11" s="13">
        <v>93676.831155491498</v>
      </c>
      <c r="CH11" s="13">
        <v>107.236107778557</v>
      </c>
      <c r="CI11" s="13">
        <v>873.55679999999995</v>
      </c>
      <c r="CK11" s="13" t="s">
        <v>137</v>
      </c>
      <c r="CL11" s="13" t="s">
        <v>136</v>
      </c>
      <c r="CM11" s="14">
        <v>76332.981343364503</v>
      </c>
      <c r="CN11" s="13">
        <v>10</v>
      </c>
      <c r="CO11" s="14">
        <v>87.381820834111707</v>
      </c>
      <c r="CP11" s="14">
        <v>873.55677204618303</v>
      </c>
      <c r="CT11" s="14"/>
      <c r="DM11" s="13">
        <f>1200000*($CP11/(SUM($CP$8:$CP$11)))</f>
        <v>214454.07495167476</v>
      </c>
      <c r="DP11" s="13">
        <f t="shared" si="2"/>
        <v>209200.89782660294</v>
      </c>
      <c r="DV11" s="13">
        <f t="shared" si="3"/>
        <v>73220.314239311032</v>
      </c>
      <c r="DZ11" s="13">
        <f t="shared" si="4"/>
        <v>496875.28701758874</v>
      </c>
      <c r="EA11" s="13">
        <f t="shared" si="32"/>
        <v>379888.48506573256</v>
      </c>
      <c r="EB11" s="13">
        <f t="shared" si="33"/>
        <v>4.7088899974230018E-3</v>
      </c>
      <c r="EC11" s="13">
        <f t="shared" si="5"/>
        <v>434.87555385312572</v>
      </c>
      <c r="FA11" s="13">
        <f>18300000*($CP11/(SUM($CP$8:$CP$11)))</f>
        <v>3270424.6430130401</v>
      </c>
      <c r="FJ11" s="13">
        <f t="shared" si="6"/>
        <v>1440871.1837807279</v>
      </c>
      <c r="FO11" s="13">
        <f t="shared" si="34"/>
        <v>3270424.6430130401</v>
      </c>
      <c r="FP11" s="13">
        <f t="shared" si="35"/>
        <v>0</v>
      </c>
      <c r="FQ11" s="13">
        <f t="shared" si="36"/>
        <v>0</v>
      </c>
      <c r="FR11" s="13">
        <f t="shared" si="37"/>
        <v>0</v>
      </c>
      <c r="FS11" s="13">
        <f t="shared" si="38"/>
        <v>0</v>
      </c>
      <c r="FT11" s="13">
        <f t="shared" si="39"/>
        <v>0</v>
      </c>
      <c r="FU11" s="13">
        <f t="shared" si="39"/>
        <v>1440871.1837807279</v>
      </c>
      <c r="FV11" s="13">
        <f t="shared" si="39"/>
        <v>0</v>
      </c>
      <c r="FW11" s="13">
        <f t="shared" si="39"/>
        <v>0</v>
      </c>
      <c r="FX11" s="13">
        <f t="shared" si="40"/>
        <v>4711295.8267937675</v>
      </c>
    </row>
    <row r="12" spans="1:180" s="8" customFormat="1" x14ac:dyDescent="0.3">
      <c r="A12" s="8">
        <v>11</v>
      </c>
      <c r="B12" s="8" t="s">
        <v>138</v>
      </c>
      <c r="C12" s="8" t="s">
        <v>139</v>
      </c>
      <c r="D12" s="8" t="s">
        <v>116</v>
      </c>
      <c r="F12" s="8">
        <f t="shared" si="41"/>
        <v>10</v>
      </c>
      <c r="G12" s="8">
        <f t="shared" si="0"/>
        <v>11.885972684301606</v>
      </c>
      <c r="H12" s="8">
        <f>(2*EA12)/$F12/$CI12</f>
        <v>73.4966327158143</v>
      </c>
      <c r="I12" s="8">
        <f t="shared" si="7"/>
        <v>0.16172132307422155</v>
      </c>
      <c r="J12" s="8">
        <f t="shared" si="1"/>
        <v>3</v>
      </c>
      <c r="K12" s="8">
        <f t="shared" si="8"/>
        <v>6.666666666666667</v>
      </c>
      <c r="M12" s="10">
        <f t="shared" si="9"/>
        <v>454816.57560974214</v>
      </c>
      <c r="N12" s="10">
        <f t="shared" si="10"/>
        <v>440705.36269937997</v>
      </c>
      <c r="O12" s="11"/>
      <c r="P12" s="10">
        <v>151717.830240746</v>
      </c>
      <c r="Q12" s="10">
        <v>176909.97873079299</v>
      </c>
      <c r="R12" s="10">
        <v>213550.74463626399</v>
      </c>
      <c r="S12" s="10">
        <v>274094.14149353001</v>
      </c>
      <c r="T12" s="10">
        <v>335786.46496815101</v>
      </c>
      <c r="U12" s="10">
        <v>397076.88475876697</v>
      </c>
      <c r="V12" s="10">
        <v>450667.899744578</v>
      </c>
      <c r="W12" s="10">
        <v>438739.745169628</v>
      </c>
      <c r="X12" s="10">
        <v>420316.97731008602</v>
      </c>
      <c r="Y12" s="10">
        <v>390995.95896308101</v>
      </c>
      <c r="Z12" s="10">
        <v>394419.81995926902</v>
      </c>
      <c r="AA12" s="10">
        <v>384687.96866563702</v>
      </c>
      <c r="AB12" s="10">
        <v>365762.75133785902</v>
      </c>
      <c r="AC12" s="10">
        <v>372220.95378286502</v>
      </c>
      <c r="AD12" s="10">
        <v>415658.851346999</v>
      </c>
      <c r="AE12" s="10">
        <v>412685.09591138101</v>
      </c>
      <c r="AF12" s="10">
        <v>438973.14437307097</v>
      </c>
      <c r="AG12" s="10">
        <v>473917.31713945</v>
      </c>
      <c r="AH12" s="10">
        <v>513873.36318943102</v>
      </c>
      <c r="AI12" s="10">
        <v>529449.14601639204</v>
      </c>
      <c r="AJ12" s="10">
        <v>548227.62663900096</v>
      </c>
      <c r="AK12" s="11"/>
      <c r="AL12" s="22">
        <v>3.2888721496165063E-2</v>
      </c>
      <c r="AM12" s="22">
        <v>2.8843039908195367E-2</v>
      </c>
      <c r="AN12" s="22">
        <v>2.3508826348185297E-2</v>
      </c>
      <c r="AO12" s="22">
        <v>1.727558717854083E-2</v>
      </c>
      <c r="AP12" s="22">
        <v>9.7904355801925469E-3</v>
      </c>
      <c r="AQ12" s="22">
        <v>1.8178580442596015E-3</v>
      </c>
      <c r="AR12" s="22">
        <v>-3.3449229627590116E-3</v>
      </c>
      <c r="AS12" s="22">
        <v>-1.1079319634054174E-3</v>
      </c>
      <c r="AT12" s="22">
        <v>4.8934098997499564E-3</v>
      </c>
      <c r="AU12" s="22">
        <v>1.5235248091937992E-2</v>
      </c>
      <c r="AV12" s="22">
        <v>1.6126764918219072E-2</v>
      </c>
      <c r="AW12" s="22">
        <v>2.1540722483505803E-2</v>
      </c>
      <c r="AX12" s="22">
        <v>2.7613026747848268E-2</v>
      </c>
      <c r="AY12" s="22">
        <v>2.6978579088403398E-2</v>
      </c>
      <c r="AZ12" s="22">
        <v>2.5079662791946955E-2</v>
      </c>
      <c r="BA12" s="22">
        <v>2.5870185947085789E-2</v>
      </c>
      <c r="BB12" s="22">
        <v>2.6893536703573639E-2</v>
      </c>
      <c r="BC12" s="22">
        <v>2.3026535336124088E-2</v>
      </c>
      <c r="BD12" s="22">
        <v>1.6693942729572031E-2</v>
      </c>
      <c r="BE12" s="22">
        <v>2.2786008601595631E-2</v>
      </c>
      <c r="BF12" s="22">
        <v>0</v>
      </c>
      <c r="BG12" s="11"/>
      <c r="BH12" s="10">
        <f t="shared" si="11"/>
        <v>289805.96993251593</v>
      </c>
      <c r="BI12" s="10">
        <f t="shared" si="12"/>
        <v>303658.66967118531</v>
      </c>
      <c r="BJ12" s="10">
        <f t="shared" si="13"/>
        <v>324451.47270705632</v>
      </c>
      <c r="BK12" s="10">
        <f t="shared" si="14"/>
        <v>366738.35484489554</v>
      </c>
      <c r="BL12" s="10">
        <f t="shared" si="15"/>
        <v>392430.93258456921</v>
      </c>
      <c r="BM12" s="10">
        <f t="shared" si="16"/>
        <v>408043.19643573987</v>
      </c>
      <c r="BN12" s="10">
        <f t="shared" si="17"/>
        <v>430016.37438028672</v>
      </c>
      <c r="BO12" s="10">
        <f t="shared" si="18"/>
        <v>432462.36334408587</v>
      </c>
      <c r="BP12" s="10">
        <f t="shared" si="19"/>
        <v>445673.60089134541</v>
      </c>
      <c r="BQ12" s="10">
        <f t="shared" si="20"/>
        <v>461748.86153746716</v>
      </c>
      <c r="BR12" s="10">
        <f t="shared" si="21"/>
        <v>462847.19853261992</v>
      </c>
      <c r="BS12" s="10">
        <f t="shared" si="22"/>
        <v>466025.5837685896</v>
      </c>
      <c r="BT12" s="10">
        <f t="shared" si="23"/>
        <v>454816.57560974214</v>
      </c>
      <c r="BU12" s="10">
        <f t="shared" si="24"/>
        <v>448467.02258898568</v>
      </c>
      <c r="BV12" s="10">
        <f t="shared" si="25"/>
        <v>482261.66063819313</v>
      </c>
      <c r="BW12" s="10">
        <f t="shared" si="26"/>
        <v>468900.64146727038</v>
      </c>
      <c r="BX12" s="10">
        <f t="shared" si="27"/>
        <v>488134.64589331043</v>
      </c>
      <c r="BY12" s="10">
        <f t="shared" si="28"/>
        <v>507414.96803044796</v>
      </c>
      <c r="BZ12" s="10">
        <f t="shared" si="29"/>
        <v>531173.7183780435</v>
      </c>
      <c r="CA12" s="10">
        <f t="shared" si="30"/>
        <v>541513.17881162907</v>
      </c>
      <c r="CB12" s="10">
        <f t="shared" si="31"/>
        <v>548227.62663900096</v>
      </c>
      <c r="CC12" s="12"/>
      <c r="CD12" s="13" t="s">
        <v>138</v>
      </c>
      <c r="CE12" s="13" t="s">
        <v>139</v>
      </c>
      <c r="CF12" s="13">
        <v>11</v>
      </c>
      <c r="CG12" s="13">
        <v>191779.3053328</v>
      </c>
      <c r="CH12" s="13">
        <v>85.756739263153094</v>
      </c>
      <c r="CI12" s="13">
        <v>2236.3175999999999</v>
      </c>
      <c r="CJ12" s="11"/>
      <c r="CK12" s="13" t="s">
        <v>138</v>
      </c>
      <c r="CL12" s="13" t="s">
        <v>139</v>
      </c>
      <c r="CM12" s="14">
        <v>218360.10825229899</v>
      </c>
      <c r="CN12" s="13">
        <v>11</v>
      </c>
      <c r="CO12" s="14">
        <v>97.6427119474547</v>
      </c>
      <c r="CP12" s="14">
        <v>2236.3175284378299</v>
      </c>
      <c r="CQ12" s="11"/>
      <c r="CT12" s="10"/>
      <c r="DM12" s="8">
        <f>1500000*($CP12/(SUM($CP$12:$CP$15)))</f>
        <v>351883.23315001873</v>
      </c>
      <c r="DP12" s="8">
        <f t="shared" si="2"/>
        <v>535557.21819741093</v>
      </c>
      <c r="DV12" s="8">
        <f t="shared" si="3"/>
        <v>187445.02636909383</v>
      </c>
      <c r="DZ12" s="8">
        <f t="shared" si="4"/>
        <v>1074885.4777165235</v>
      </c>
      <c r="EA12" s="8">
        <f t="shared" si="32"/>
        <v>821809.06641555659</v>
      </c>
      <c r="EB12" s="8">
        <f t="shared" si="33"/>
        <v>1.0186695950960853E-2</v>
      </c>
      <c r="EC12" s="8">
        <f t="shared" si="5"/>
        <v>367.48317533853424</v>
      </c>
      <c r="ED12" s="12"/>
      <c r="FA12" s="8">
        <f>25300000*($CP12/(SUM($CP$12:$CP$15)))</f>
        <v>5935097.1991303153</v>
      </c>
      <c r="FJ12" s="8">
        <f t="shared" si="6"/>
        <v>3688650.3403346683</v>
      </c>
      <c r="FN12" s="12"/>
      <c r="FO12" s="8">
        <f t="shared" si="34"/>
        <v>5935097.1991303153</v>
      </c>
      <c r="FP12" s="8">
        <f t="shared" si="35"/>
        <v>0</v>
      </c>
      <c r="FQ12" s="8">
        <f t="shared" si="36"/>
        <v>0</v>
      </c>
      <c r="FR12" s="8">
        <f t="shared" si="37"/>
        <v>0</v>
      </c>
      <c r="FS12" s="8">
        <f t="shared" si="38"/>
        <v>0</v>
      </c>
      <c r="FT12" s="8">
        <f t="shared" si="39"/>
        <v>0</v>
      </c>
      <c r="FU12" s="8">
        <f t="shared" si="39"/>
        <v>3688650.3403346683</v>
      </c>
      <c r="FV12" s="8">
        <f t="shared" si="39"/>
        <v>0</v>
      </c>
      <c r="FW12" s="8">
        <f t="shared" si="39"/>
        <v>0</v>
      </c>
      <c r="FX12" s="8">
        <f t="shared" si="40"/>
        <v>9623747.5394649841</v>
      </c>
    </row>
    <row r="13" spans="1:180" x14ac:dyDescent="0.3">
      <c r="A13" s="13">
        <v>12</v>
      </c>
      <c r="B13" s="13" t="s">
        <v>140</v>
      </c>
      <c r="C13" s="13" t="s">
        <v>141</v>
      </c>
      <c r="D13" s="13" t="s">
        <v>116</v>
      </c>
      <c r="F13" s="13">
        <f t="shared" si="41"/>
        <v>10</v>
      </c>
      <c r="G13" s="13">
        <f t="shared" si="0"/>
        <v>4.436349158013897</v>
      </c>
      <c r="H13" s="13">
        <f>(2*EA13)/$F13/$CI13</f>
        <v>73.49663271581457</v>
      </c>
      <c r="I13" s="13">
        <f t="shared" si="7"/>
        <v>6.036125729960564E-2</v>
      </c>
      <c r="J13" s="13">
        <f t="shared" si="1"/>
        <v>3</v>
      </c>
      <c r="K13" s="13">
        <f t="shared" si="8"/>
        <v>6.666666666666667</v>
      </c>
      <c r="M13" s="14">
        <f t="shared" si="9"/>
        <v>657365.51451659238</v>
      </c>
      <c r="N13" s="14">
        <f t="shared" si="10"/>
        <v>658413.25060716597</v>
      </c>
      <c r="P13" s="14">
        <v>307262.06775034801</v>
      </c>
      <c r="Q13" s="14">
        <v>364749.228273427</v>
      </c>
      <c r="R13" s="14">
        <v>411567.56131308398</v>
      </c>
      <c r="S13" s="14">
        <v>466578.30712173</v>
      </c>
      <c r="T13" s="14">
        <v>521608.01361567498</v>
      </c>
      <c r="U13" s="14">
        <v>606346.57160460204</v>
      </c>
      <c r="V13" s="14">
        <v>653225.10249527195</v>
      </c>
      <c r="W13" s="14">
        <v>620843.39601294603</v>
      </c>
      <c r="X13" s="14">
        <v>592766.88983472099</v>
      </c>
      <c r="Y13" s="14">
        <v>564271.14392453502</v>
      </c>
      <c r="Z13" s="14">
        <v>558462.36292556406</v>
      </c>
      <c r="AA13" s="14">
        <v>542632.45035877696</v>
      </c>
      <c r="AB13" s="14">
        <v>538694.27491478901</v>
      </c>
      <c r="AC13" s="14">
        <v>552327.75130773697</v>
      </c>
      <c r="AD13" s="14">
        <v>589499.04964305495</v>
      </c>
      <c r="AE13" s="14">
        <v>614983.68938914605</v>
      </c>
      <c r="AF13" s="14">
        <v>641315.62130603101</v>
      </c>
      <c r="AG13" s="14">
        <v>665909.22320604301</v>
      </c>
      <c r="AH13" s="14">
        <v>690450.69039587805</v>
      </c>
      <c r="AI13" s="14">
        <v>702648.58554664999</v>
      </c>
      <c r="AJ13" s="14">
        <v>712028.552657263</v>
      </c>
      <c r="AL13" s="23">
        <v>3.2888721496165063E-2</v>
      </c>
      <c r="AM13" s="23">
        <v>2.8843039908195367E-2</v>
      </c>
      <c r="AN13" s="23">
        <v>2.3508826348185297E-2</v>
      </c>
      <c r="AO13" s="23">
        <v>1.727558717854083E-2</v>
      </c>
      <c r="AP13" s="23">
        <v>9.7904355801925469E-3</v>
      </c>
      <c r="AQ13" s="23">
        <v>1.8178580442596015E-3</v>
      </c>
      <c r="AR13" s="23">
        <v>-3.3449229627590116E-3</v>
      </c>
      <c r="AS13" s="23">
        <v>-1.1079319634054174E-3</v>
      </c>
      <c r="AT13" s="23">
        <v>4.8934098997499564E-3</v>
      </c>
      <c r="AU13" s="23">
        <v>1.5235248091937992E-2</v>
      </c>
      <c r="AV13" s="23">
        <v>1.6126764918219072E-2</v>
      </c>
      <c r="AW13" s="23">
        <v>2.1540722483505803E-2</v>
      </c>
      <c r="AX13" s="23">
        <v>2.7613026747848268E-2</v>
      </c>
      <c r="AY13" s="23">
        <v>2.6978579088403398E-2</v>
      </c>
      <c r="AZ13" s="23">
        <v>2.5079662791946955E-2</v>
      </c>
      <c r="BA13" s="23">
        <v>2.5870185947085789E-2</v>
      </c>
      <c r="BB13" s="23">
        <v>2.6893536703573639E-2</v>
      </c>
      <c r="BC13" s="23">
        <v>2.3026535336124088E-2</v>
      </c>
      <c r="BD13" s="23">
        <v>1.6693942729572031E-2</v>
      </c>
      <c r="BE13" s="23">
        <v>2.2786008601595631E-2</v>
      </c>
      <c r="BF13" s="23">
        <v>0</v>
      </c>
      <c r="BH13" s="14">
        <f t="shared" si="11"/>
        <v>586921.00609770871</v>
      </c>
      <c r="BI13" s="14">
        <f t="shared" si="12"/>
        <v>626076.98116138857</v>
      </c>
      <c r="BJ13" s="14">
        <f t="shared" si="13"/>
        <v>625301.97032994032</v>
      </c>
      <c r="BK13" s="14">
        <f t="shared" si="14"/>
        <v>624282.44481168082</v>
      </c>
      <c r="BL13" s="14">
        <f t="shared" si="15"/>
        <v>609599.07733683998</v>
      </c>
      <c r="BM13" s="14">
        <f t="shared" si="16"/>
        <v>623092.41036708665</v>
      </c>
      <c r="BN13" s="14">
        <f t="shared" si="17"/>
        <v>623291.54214979685</v>
      </c>
      <c r="BO13" s="14">
        <f t="shared" si="18"/>
        <v>611960.51933366829</v>
      </c>
      <c r="BP13" s="14">
        <f t="shared" si="19"/>
        <v>628526.96546422422</v>
      </c>
      <c r="BQ13" s="14">
        <f t="shared" si="20"/>
        <v>666379.15899841918</v>
      </c>
      <c r="BR13" s="14">
        <f t="shared" si="21"/>
        <v>655349.26767295215</v>
      </c>
      <c r="BS13" s="14">
        <f t="shared" si="22"/>
        <v>657365.51451659238</v>
      </c>
      <c r="BT13" s="14">
        <f t="shared" si="23"/>
        <v>669852.47820109944</v>
      </c>
      <c r="BU13" s="14">
        <f t="shared" si="24"/>
        <v>665467.05553483358</v>
      </c>
      <c r="BV13" s="14">
        <f t="shared" si="25"/>
        <v>683957.0231794822</v>
      </c>
      <c r="BW13" s="14">
        <f t="shared" si="26"/>
        <v>698756.14434208255</v>
      </c>
      <c r="BX13" s="14">
        <f t="shared" si="27"/>
        <v>713137.87124530051</v>
      </c>
      <c r="BY13" s="14">
        <f t="shared" si="28"/>
        <v>712977.33799596538</v>
      </c>
      <c r="BZ13" s="14">
        <f t="shared" si="29"/>
        <v>713695.79909334541</v>
      </c>
      <c r="CA13" s="14">
        <f t="shared" si="30"/>
        <v>718659.14226081502</v>
      </c>
      <c r="CB13" s="14">
        <f t="shared" si="31"/>
        <v>712028.552657263</v>
      </c>
      <c r="CD13" s="13" t="s">
        <v>140</v>
      </c>
      <c r="CE13" s="13" t="s">
        <v>141</v>
      </c>
      <c r="CF13" s="13">
        <v>12</v>
      </c>
      <c r="CG13" s="13">
        <v>233170.696900454</v>
      </c>
      <c r="CH13" s="13">
        <v>69.824363338720502</v>
      </c>
      <c r="CI13" s="13">
        <v>3339.3888000000002</v>
      </c>
      <c r="CK13" s="13" t="s">
        <v>140</v>
      </c>
      <c r="CL13" s="13" t="s">
        <v>141</v>
      </c>
      <c r="CM13" s="14">
        <v>247985.38365608201</v>
      </c>
      <c r="CN13" s="13">
        <v>12</v>
      </c>
      <c r="CO13" s="14">
        <v>74.260712496734399</v>
      </c>
      <c r="CP13" s="14">
        <v>3339.38869313956</v>
      </c>
      <c r="CT13" s="14"/>
      <c r="DM13" s="13">
        <f>1500000*($CP13/(SUM($CP$12:$CP$15)))</f>
        <v>525450.82491367299</v>
      </c>
      <c r="DP13" s="13">
        <f t="shared" si="2"/>
        <v>799722.62267559709</v>
      </c>
      <c r="DV13" s="13">
        <f t="shared" si="3"/>
        <v>279902.91793645901</v>
      </c>
      <c r="DZ13" s="13">
        <f t="shared" si="4"/>
        <v>1605076.365525729</v>
      </c>
      <c r="EA13" s="13">
        <f t="shared" si="32"/>
        <v>1227169.1606445238</v>
      </c>
      <c r="EB13" s="13">
        <f t="shared" si="33"/>
        <v>1.5211318091689723E-2</v>
      </c>
      <c r="EC13" s="13">
        <f t="shared" si="5"/>
        <v>367.48317533853429</v>
      </c>
      <c r="FA13" s="13">
        <f>25300000*($CP13/(SUM($CP$12:$CP$15)))</f>
        <v>8862603.9135439508</v>
      </c>
      <c r="FJ13" s="13">
        <f t="shared" si="6"/>
        <v>5508089.5636781752</v>
      </c>
      <c r="FO13" s="13">
        <f t="shared" si="34"/>
        <v>8862603.9135439508</v>
      </c>
      <c r="FP13" s="13">
        <f t="shared" si="35"/>
        <v>0</v>
      </c>
      <c r="FQ13" s="13">
        <f t="shared" si="36"/>
        <v>0</v>
      </c>
      <c r="FR13" s="13">
        <f t="shared" si="37"/>
        <v>0</v>
      </c>
      <c r="FS13" s="13">
        <f t="shared" si="38"/>
        <v>0</v>
      </c>
      <c r="FT13" s="13">
        <f t="shared" si="39"/>
        <v>0</v>
      </c>
      <c r="FU13" s="13">
        <f t="shared" si="39"/>
        <v>5508089.5636781752</v>
      </c>
      <c r="FV13" s="13">
        <f t="shared" si="39"/>
        <v>0</v>
      </c>
      <c r="FW13" s="13">
        <f t="shared" si="39"/>
        <v>0</v>
      </c>
      <c r="FX13" s="13">
        <f t="shared" si="40"/>
        <v>14370693.477222126</v>
      </c>
    </row>
    <row r="14" spans="1:180" s="8" customFormat="1" x14ac:dyDescent="0.3">
      <c r="A14" s="8">
        <v>13</v>
      </c>
      <c r="B14" s="8" t="s">
        <v>142</v>
      </c>
      <c r="C14" s="8" t="s">
        <v>143</v>
      </c>
      <c r="D14" s="8" t="s">
        <v>116</v>
      </c>
      <c r="F14" s="8">
        <f t="shared" si="41"/>
        <v>10</v>
      </c>
      <c r="G14" s="8">
        <f t="shared" si="0"/>
        <v>-4.7843117769944996</v>
      </c>
      <c r="H14" s="8">
        <f>(2*EA14)/$F14/$CI14</f>
        <v>73.496632715814414</v>
      </c>
      <c r="I14" s="8">
        <f t="shared" si="7"/>
        <v>-6.5095659490874203E-2</v>
      </c>
      <c r="J14" s="8">
        <f t="shared" si="1"/>
        <v>3</v>
      </c>
      <c r="K14" s="8">
        <f t="shared" si="8"/>
        <v>6.666666666666667</v>
      </c>
      <c r="M14" s="10">
        <f t="shared" si="9"/>
        <v>1040612.7189433388</v>
      </c>
      <c r="N14" s="10">
        <f t="shared" si="10"/>
        <v>1045267.7994703711</v>
      </c>
      <c r="O14" s="11"/>
      <c r="P14" s="10">
        <v>431264.79490722698</v>
      </c>
      <c r="Q14" s="10">
        <v>523161.68529237201</v>
      </c>
      <c r="R14" s="10">
        <v>571876.12988166302</v>
      </c>
      <c r="S14" s="10">
        <v>697102.32468858198</v>
      </c>
      <c r="T14" s="10">
        <v>819109.892480487</v>
      </c>
      <c r="U14" s="10">
        <v>954429.46628935495</v>
      </c>
      <c r="V14" s="10">
        <v>1034161.49340222</v>
      </c>
      <c r="W14" s="10">
        <v>1011212.84875306</v>
      </c>
      <c r="X14" s="10">
        <v>951436.31755519297</v>
      </c>
      <c r="Y14" s="10">
        <v>883276.271761204</v>
      </c>
      <c r="Z14" s="10">
        <v>886417.05845729995</v>
      </c>
      <c r="AA14" s="10">
        <v>858989.73567236098</v>
      </c>
      <c r="AB14" s="10">
        <v>856121.45461308095</v>
      </c>
      <c r="AC14" s="10">
        <v>886398.66715065797</v>
      </c>
      <c r="AD14" s="10">
        <v>968293.26237039</v>
      </c>
      <c r="AE14" s="10">
        <v>1027760.42602445</v>
      </c>
      <c r="AF14" s="10">
        <v>1079163.31617791</v>
      </c>
      <c r="AG14" s="10">
        <v>1102377.90289393</v>
      </c>
      <c r="AH14" s="10">
        <v>1152276.46672444</v>
      </c>
      <c r="AI14" s="10">
        <v>1167498.11446192</v>
      </c>
      <c r="AJ14" s="10">
        <v>1183686.5052387</v>
      </c>
      <c r="AK14" s="11"/>
      <c r="AL14" s="22">
        <v>3.2888721496165063E-2</v>
      </c>
      <c r="AM14" s="22">
        <v>2.8843039908195367E-2</v>
      </c>
      <c r="AN14" s="22">
        <v>2.3508826348185297E-2</v>
      </c>
      <c r="AO14" s="22">
        <v>1.727558717854083E-2</v>
      </c>
      <c r="AP14" s="22">
        <v>9.7904355801925469E-3</v>
      </c>
      <c r="AQ14" s="22">
        <v>1.8178580442596015E-3</v>
      </c>
      <c r="AR14" s="22">
        <v>-3.3449229627590116E-3</v>
      </c>
      <c r="AS14" s="22">
        <v>-1.1079319634054174E-3</v>
      </c>
      <c r="AT14" s="22">
        <v>4.8934098997499564E-3</v>
      </c>
      <c r="AU14" s="22">
        <v>1.5235248091937992E-2</v>
      </c>
      <c r="AV14" s="22">
        <v>1.6126764918219072E-2</v>
      </c>
      <c r="AW14" s="22">
        <v>2.1540722483505803E-2</v>
      </c>
      <c r="AX14" s="22">
        <v>2.7613026747848268E-2</v>
      </c>
      <c r="AY14" s="22">
        <v>2.6978579088403398E-2</v>
      </c>
      <c r="AZ14" s="22">
        <v>2.5079662791946955E-2</v>
      </c>
      <c r="BA14" s="22">
        <v>2.5870185947085789E-2</v>
      </c>
      <c r="BB14" s="22">
        <v>2.6893536703573639E-2</v>
      </c>
      <c r="BC14" s="22">
        <v>2.3026535336124088E-2</v>
      </c>
      <c r="BD14" s="22">
        <v>1.6693942729572031E-2</v>
      </c>
      <c r="BE14" s="22">
        <v>2.2786008601595631E-2</v>
      </c>
      <c r="BF14" s="22">
        <v>0</v>
      </c>
      <c r="BG14" s="11"/>
      <c r="BH14" s="10">
        <f t="shared" si="11"/>
        <v>823786.57793558703</v>
      </c>
      <c r="BI14" s="10">
        <f t="shared" si="12"/>
        <v>897985.41901675868</v>
      </c>
      <c r="BJ14" s="10">
        <f t="shared" si="13"/>
        <v>868861.65094930329</v>
      </c>
      <c r="BK14" s="10">
        <f t="shared" si="14"/>
        <v>932723.91128752916</v>
      </c>
      <c r="BL14" s="10">
        <f t="shared" si="15"/>
        <v>957287.12301090627</v>
      </c>
      <c r="BM14" s="10">
        <f t="shared" si="16"/>
        <v>980788.52017226885</v>
      </c>
      <c r="BN14" s="10">
        <f t="shared" si="17"/>
        <v>986771.80284765945</v>
      </c>
      <c r="BO14" s="10">
        <f t="shared" si="18"/>
        <v>996744.66065657709</v>
      </c>
      <c r="BP14" s="10">
        <f t="shared" si="19"/>
        <v>1008833.9813854322</v>
      </c>
      <c r="BQ14" s="10">
        <f t="shared" si="20"/>
        <v>1043110.0464322317</v>
      </c>
      <c r="BR14" s="10">
        <f t="shared" si="21"/>
        <v>1040200.3942926987</v>
      </c>
      <c r="BS14" s="10">
        <f t="shared" si="22"/>
        <v>1040612.7189433388</v>
      </c>
      <c r="BT14" s="10">
        <f t="shared" si="23"/>
        <v>1064565.013438123</v>
      </c>
      <c r="BU14" s="10">
        <f t="shared" si="24"/>
        <v>1067969.3527296544</v>
      </c>
      <c r="BV14" s="10">
        <f t="shared" si="25"/>
        <v>1123447.0652609365</v>
      </c>
      <c r="BW14" s="10">
        <f t="shared" si="26"/>
        <v>1167760.9097398212</v>
      </c>
      <c r="BX14" s="10">
        <f t="shared" si="27"/>
        <v>1200021.0262426934</v>
      </c>
      <c r="BY14" s="10">
        <f t="shared" si="28"/>
        <v>1180296.7060387104</v>
      </c>
      <c r="BZ14" s="10">
        <f t="shared" si="29"/>
        <v>1191069.6667184697</v>
      </c>
      <c r="CA14" s="10">
        <f t="shared" si="30"/>
        <v>1194100.736540396</v>
      </c>
      <c r="CB14" s="10">
        <f t="shared" si="31"/>
        <v>1183686.5052387</v>
      </c>
      <c r="CC14" s="12"/>
      <c r="CD14" s="13" t="s">
        <v>142</v>
      </c>
      <c r="CE14" s="13" t="s">
        <v>143</v>
      </c>
      <c r="CF14" s="13">
        <v>13</v>
      </c>
      <c r="CG14" s="13">
        <v>222806.94341275</v>
      </c>
      <c r="CH14" s="13">
        <v>94.946604602478402</v>
      </c>
      <c r="CI14" s="13">
        <v>2346.6552000000001</v>
      </c>
      <c r="CJ14" s="11"/>
      <c r="CK14" s="13" t="s">
        <v>142</v>
      </c>
      <c r="CL14" s="13" t="s">
        <v>143</v>
      </c>
      <c r="CM14" s="14">
        <v>211579.80653229001</v>
      </c>
      <c r="CN14" s="13">
        <v>13</v>
      </c>
      <c r="CO14" s="14">
        <v>90.162292825483902</v>
      </c>
      <c r="CP14" s="14">
        <v>2346.6551249070299</v>
      </c>
      <c r="CQ14" s="11"/>
      <c r="CT14" s="10"/>
      <c r="DM14" s="8">
        <f>1500000*($CP14/(SUM($CP$12:$CP$15)))</f>
        <v>369244.78833610442</v>
      </c>
      <c r="DP14" s="8">
        <f t="shared" si="2"/>
        <v>561981.05804850394</v>
      </c>
      <c r="DV14" s="8">
        <f t="shared" si="3"/>
        <v>196693.37031697639</v>
      </c>
      <c r="DZ14" s="8">
        <f t="shared" si="4"/>
        <v>1127919.2167015849</v>
      </c>
      <c r="EA14" s="8">
        <f t="shared" si="32"/>
        <v>862356.27672528022</v>
      </c>
      <c r="EB14" s="8">
        <f t="shared" si="33"/>
        <v>1.0689297005103958E-2</v>
      </c>
      <c r="EC14" s="8">
        <f t="shared" si="5"/>
        <v>367.48317533853429</v>
      </c>
      <c r="ED14" s="12"/>
      <c r="FA14" s="8">
        <f>25300000*($CP14/(SUM($CP$12:$CP$15)))</f>
        <v>6227928.7632689606</v>
      </c>
      <c r="FJ14" s="8">
        <f t="shared" si="6"/>
        <v>3870644.537309071</v>
      </c>
      <c r="FN14" s="12"/>
      <c r="FO14" s="8">
        <f t="shared" si="34"/>
        <v>6227928.7632689606</v>
      </c>
      <c r="FP14" s="8">
        <f t="shared" si="35"/>
        <v>0</v>
      </c>
      <c r="FQ14" s="8">
        <f t="shared" si="36"/>
        <v>0</v>
      </c>
      <c r="FR14" s="8">
        <f t="shared" si="37"/>
        <v>0</v>
      </c>
      <c r="FS14" s="8">
        <f t="shared" si="38"/>
        <v>0</v>
      </c>
      <c r="FT14" s="8">
        <f t="shared" si="39"/>
        <v>0</v>
      </c>
      <c r="FU14" s="8">
        <f t="shared" si="39"/>
        <v>3870644.537309071</v>
      </c>
      <c r="FV14" s="8">
        <f t="shared" si="39"/>
        <v>0</v>
      </c>
      <c r="FW14" s="8">
        <f t="shared" si="39"/>
        <v>0</v>
      </c>
      <c r="FX14" s="8">
        <f t="shared" si="40"/>
        <v>10098573.300578032</v>
      </c>
    </row>
    <row r="15" spans="1:180" ht="15" thickBot="1" x14ac:dyDescent="0.35">
      <c r="A15" s="13">
        <v>14</v>
      </c>
      <c r="B15" s="13" t="s">
        <v>144</v>
      </c>
      <c r="C15" s="13" t="s">
        <v>145</v>
      </c>
      <c r="D15" s="13" t="s">
        <v>116</v>
      </c>
      <c r="F15" s="13">
        <f t="shared" si="41"/>
        <v>10</v>
      </c>
      <c r="G15" s="13">
        <f t="shared" si="0"/>
        <v>-2.0316311458464895</v>
      </c>
      <c r="H15" s="13">
        <f>(2*EA15)/$F15/$CI15</f>
        <v>73.496632715814172</v>
      </c>
      <c r="I15" s="13">
        <f t="shared" si="7"/>
        <v>-2.7642506476481692E-2</v>
      </c>
      <c r="J15" s="13">
        <f t="shared" si="1"/>
        <v>3</v>
      </c>
      <c r="K15" s="13">
        <f t="shared" si="8"/>
        <v>6.666666666666667</v>
      </c>
      <c r="M15" s="14">
        <f t="shared" si="9"/>
        <v>608693.75749089068</v>
      </c>
      <c r="N15" s="14">
        <f t="shared" si="10"/>
        <v>596474.94977390743</v>
      </c>
      <c r="P15" s="14">
        <v>243837.49329098201</v>
      </c>
      <c r="Q15" s="14">
        <v>299643.99368498899</v>
      </c>
      <c r="R15" s="14">
        <v>347295.51310844498</v>
      </c>
      <c r="S15" s="14">
        <v>414132.49750666402</v>
      </c>
      <c r="T15" s="14">
        <v>472279.08272722899</v>
      </c>
      <c r="U15" s="14">
        <v>556078.61113579397</v>
      </c>
      <c r="V15" s="14">
        <v>615447.54114628898</v>
      </c>
      <c r="W15" s="14">
        <v>600534.00633984199</v>
      </c>
      <c r="X15" s="14">
        <v>576305.35510243103</v>
      </c>
      <c r="Y15" s="14">
        <v>544947.44183854305</v>
      </c>
      <c r="Z15" s="14">
        <v>529232.78510993102</v>
      </c>
      <c r="AA15" s="14">
        <v>502455.60171841999</v>
      </c>
      <c r="AB15" s="14">
        <v>493005.55854723998</v>
      </c>
      <c r="AC15" s="14">
        <v>490197.298505418</v>
      </c>
      <c r="AD15" s="14">
        <v>517366.29504726402</v>
      </c>
      <c r="AE15" s="14">
        <v>539386.02663610596</v>
      </c>
      <c r="AF15" s="14">
        <v>576302.84865030297</v>
      </c>
      <c r="AG15" s="14">
        <v>610933.40753266902</v>
      </c>
      <c r="AH15" s="14">
        <v>625998.07516321004</v>
      </c>
      <c r="AI15" s="14">
        <v>644198.55657742498</v>
      </c>
      <c r="AJ15" s="14">
        <v>659483.63147888798</v>
      </c>
      <c r="AL15" s="23">
        <v>3.2888721496165063E-2</v>
      </c>
      <c r="AM15" s="23">
        <v>2.8843039908195367E-2</v>
      </c>
      <c r="AN15" s="23">
        <v>2.3508826348185297E-2</v>
      </c>
      <c r="AO15" s="23">
        <v>1.727558717854083E-2</v>
      </c>
      <c r="AP15" s="23">
        <v>9.7904355801925469E-3</v>
      </c>
      <c r="AQ15" s="23">
        <v>1.8178580442596015E-3</v>
      </c>
      <c r="AR15" s="23">
        <v>-3.3449229627590116E-3</v>
      </c>
      <c r="AS15" s="23">
        <v>-1.1079319634054174E-3</v>
      </c>
      <c r="AT15" s="23">
        <v>4.8934098997499564E-3</v>
      </c>
      <c r="AU15" s="23">
        <v>1.5235248091937992E-2</v>
      </c>
      <c r="AV15" s="23">
        <v>1.6126764918219072E-2</v>
      </c>
      <c r="AW15" s="23">
        <v>2.1540722483505803E-2</v>
      </c>
      <c r="AX15" s="23">
        <v>2.7613026747848268E-2</v>
      </c>
      <c r="AY15" s="23">
        <v>2.6978579088403398E-2</v>
      </c>
      <c r="AZ15" s="23">
        <v>2.5079662791946955E-2</v>
      </c>
      <c r="BA15" s="23">
        <v>2.5870185947085789E-2</v>
      </c>
      <c r="BB15" s="23">
        <v>2.6893536703573639E-2</v>
      </c>
      <c r="BC15" s="23">
        <v>2.3026535336124088E-2</v>
      </c>
      <c r="BD15" s="23">
        <v>1.6693942729572031E-2</v>
      </c>
      <c r="BE15" s="23">
        <v>2.2786008601595631E-2</v>
      </c>
      <c r="BF15" s="23">
        <v>0</v>
      </c>
      <c r="BH15" s="14">
        <f t="shared" si="11"/>
        <v>465769.65368522739</v>
      </c>
      <c r="BI15" s="14">
        <f t="shared" si="12"/>
        <v>514326.53573377634</v>
      </c>
      <c r="BJ15" s="14">
        <f t="shared" si="13"/>
        <v>527652.29587241157</v>
      </c>
      <c r="BK15" s="14">
        <f t="shared" si="14"/>
        <v>554109.87624843803</v>
      </c>
      <c r="BL15" s="14">
        <f t="shared" si="15"/>
        <v>551948.75377841806</v>
      </c>
      <c r="BM15" s="14">
        <f t="shared" si="16"/>
        <v>571436.16933341627</v>
      </c>
      <c r="BN15" s="14">
        <f t="shared" si="17"/>
        <v>587245.10979145591</v>
      </c>
      <c r="BO15" s="14">
        <f t="shared" si="18"/>
        <v>591941.71148048237</v>
      </c>
      <c r="BP15" s="14">
        <f t="shared" si="19"/>
        <v>611072.34940924344</v>
      </c>
      <c r="BQ15" s="14">
        <f t="shared" si="20"/>
        <v>643558.72509276215</v>
      </c>
      <c r="BR15" s="14">
        <f t="shared" si="21"/>
        <v>621048.68864106154</v>
      </c>
      <c r="BS15" s="14">
        <f t="shared" si="22"/>
        <v>608693.75749089068</v>
      </c>
      <c r="BT15" s="14">
        <f t="shared" si="23"/>
        <v>613039.73429460265</v>
      </c>
      <c r="BU15" s="14">
        <f t="shared" si="24"/>
        <v>590609.74592561787</v>
      </c>
      <c r="BV15" s="14">
        <f t="shared" si="25"/>
        <v>600266.12641392113</v>
      </c>
      <c r="BW15" s="14">
        <f t="shared" si="26"/>
        <v>612860.64457841089</v>
      </c>
      <c r="BX15" s="14">
        <f t="shared" si="27"/>
        <v>640844.18502408732</v>
      </c>
      <c r="BY15" s="14">
        <f t="shared" si="28"/>
        <v>654115.69537710189</v>
      </c>
      <c r="BZ15" s="14">
        <f t="shared" si="29"/>
        <v>647073.2851731109</v>
      </c>
      <c r="CA15" s="14">
        <f t="shared" si="30"/>
        <v>658877.27042873367</v>
      </c>
      <c r="CB15" s="14">
        <f t="shared" si="31"/>
        <v>659483.63147888798</v>
      </c>
      <c r="CD15" s="13" t="s">
        <v>144</v>
      </c>
      <c r="CE15" s="13" t="s">
        <v>145</v>
      </c>
      <c r="CF15" s="13">
        <v>14</v>
      </c>
      <c r="CG15" s="13">
        <v>157890.18920249699</v>
      </c>
      <c r="CH15" s="13">
        <v>98.034146814292797</v>
      </c>
      <c r="CI15" s="13">
        <v>1610.5632000000001</v>
      </c>
      <c r="CK15" s="13" t="s">
        <v>144</v>
      </c>
      <c r="CL15" s="13" t="s">
        <v>145</v>
      </c>
      <c r="CM15" s="14">
        <v>154618.113895243</v>
      </c>
      <c r="CN15" s="13">
        <v>14</v>
      </c>
      <c r="CO15" s="14">
        <v>96.002515668446307</v>
      </c>
      <c r="CP15" s="14">
        <v>1610.5631484619701</v>
      </c>
      <c r="CT15" s="14"/>
      <c r="DM15" s="13">
        <f>1500000*($CP15/(SUM($CP$12:$CP$15)))</f>
        <v>253421.15360020389</v>
      </c>
      <c r="DP15" s="13">
        <f t="shared" si="2"/>
        <v>385700.46898665879</v>
      </c>
      <c r="DV15" s="13">
        <f t="shared" si="3"/>
        <v>134995.16414533058</v>
      </c>
      <c r="DZ15" s="13">
        <f t="shared" si="4"/>
        <v>774116.7867321932</v>
      </c>
      <c r="EA15" s="13">
        <f t="shared" si="32"/>
        <v>591854.8598800319</v>
      </c>
      <c r="EB15" s="13">
        <f t="shared" si="33"/>
        <v>7.336309309646594E-3</v>
      </c>
      <c r="EC15" s="13">
        <f t="shared" si="5"/>
        <v>367.48317533853424</v>
      </c>
      <c r="FA15" s="13">
        <f>25300000*($CP15/(SUM($CP$12:$CP$15)))</f>
        <v>4274370.1240567723</v>
      </c>
      <c r="FJ15" s="13">
        <f t="shared" si="6"/>
        <v>2656511.9801456123</v>
      </c>
      <c r="FO15" s="13">
        <f t="shared" si="34"/>
        <v>4274370.1240567723</v>
      </c>
      <c r="FP15" s="13">
        <f t="shared" si="35"/>
        <v>0</v>
      </c>
      <c r="FQ15" s="13">
        <f t="shared" si="36"/>
        <v>0</v>
      </c>
      <c r="FR15" s="13">
        <f t="shared" si="37"/>
        <v>0</v>
      </c>
      <c r="FS15" s="13">
        <f t="shared" si="38"/>
        <v>0</v>
      </c>
      <c r="FT15" s="13">
        <f t="shared" si="39"/>
        <v>0</v>
      </c>
      <c r="FU15" s="13">
        <f t="shared" si="39"/>
        <v>2656511.9801456123</v>
      </c>
      <c r="FV15" s="13">
        <f t="shared" si="39"/>
        <v>0</v>
      </c>
      <c r="FW15" s="13">
        <f t="shared" si="39"/>
        <v>0</v>
      </c>
      <c r="FX15" s="13">
        <f t="shared" si="40"/>
        <v>6930882.1042023841</v>
      </c>
    </row>
    <row r="16" spans="1:180" s="15" customFormat="1" x14ac:dyDescent="0.3">
      <c r="A16" s="15">
        <v>15</v>
      </c>
      <c r="B16" s="15" t="s">
        <v>146</v>
      </c>
      <c r="C16" s="15" t="s">
        <v>147</v>
      </c>
      <c r="D16" s="15" t="s">
        <v>148</v>
      </c>
      <c r="F16" s="15">
        <f t="shared" si="41"/>
        <v>10</v>
      </c>
      <c r="G16" s="15">
        <f t="shared" si="0"/>
        <v>30.329041288531002</v>
      </c>
      <c r="H16" s="15">
        <f>(2*EA16)/$F16/$CI16</f>
        <v>44.538042363845236</v>
      </c>
      <c r="I16" s="15">
        <f t="shared" si="7"/>
        <v>0.68096933944162952</v>
      </c>
      <c r="J16" s="15">
        <f t="shared" si="1"/>
        <v>1</v>
      </c>
      <c r="K16" s="15">
        <f t="shared" si="8"/>
        <v>20</v>
      </c>
      <c r="M16" s="17">
        <f t="shared" si="9"/>
        <v>578901.52920268953</v>
      </c>
      <c r="N16" s="17">
        <f t="shared" si="10"/>
        <v>582017.59791056719</v>
      </c>
      <c r="O16" s="16"/>
      <c r="P16" s="17">
        <v>240614.36314420201</v>
      </c>
      <c r="Q16" s="17">
        <v>288901.91915613803</v>
      </c>
      <c r="R16" s="17">
        <v>336576.27574083302</v>
      </c>
      <c r="S16" s="17">
        <v>406101.249376386</v>
      </c>
      <c r="T16" s="17">
        <v>479897.805928018</v>
      </c>
      <c r="U16" s="17">
        <v>559142.24774676503</v>
      </c>
      <c r="V16" s="17">
        <v>604345.12856557895</v>
      </c>
      <c r="W16" s="17">
        <v>596433.17884657101</v>
      </c>
      <c r="X16" s="17">
        <v>581265.43991836195</v>
      </c>
      <c r="Y16" s="17">
        <v>556067.84648117004</v>
      </c>
      <c r="Z16" s="17">
        <v>546125.12757337</v>
      </c>
      <c r="AA16" s="17">
        <v>510469.99920978001</v>
      </c>
      <c r="AB16" s="17">
        <v>523979.87788333802</v>
      </c>
      <c r="AC16" s="17">
        <v>514532.86842435302</v>
      </c>
      <c r="AD16" s="17">
        <v>505078.35590213002</v>
      </c>
      <c r="AE16" s="17">
        <v>506313.55792631401</v>
      </c>
      <c r="AF16" s="17">
        <v>514769.48198527301</v>
      </c>
      <c r="AG16" s="17">
        <v>538281.50268467201</v>
      </c>
      <c r="AH16" s="17">
        <v>560046.67677320703</v>
      </c>
      <c r="AI16" s="17">
        <v>593380.51169169904</v>
      </c>
      <c r="AJ16" s="17">
        <v>612523.38576364203</v>
      </c>
      <c r="AK16" s="16"/>
      <c r="AL16" s="24">
        <v>3.2888721496165063E-2</v>
      </c>
      <c r="AM16" s="24">
        <v>2.8843039908195367E-2</v>
      </c>
      <c r="AN16" s="24">
        <v>2.3508826348185297E-2</v>
      </c>
      <c r="AO16" s="24">
        <v>1.727558717854083E-2</v>
      </c>
      <c r="AP16" s="24">
        <v>9.7904355801925469E-3</v>
      </c>
      <c r="AQ16" s="24">
        <v>1.8178580442596015E-3</v>
      </c>
      <c r="AR16" s="24">
        <v>-3.3449229627590116E-3</v>
      </c>
      <c r="AS16" s="24">
        <v>-1.1079319634054174E-3</v>
      </c>
      <c r="AT16" s="24">
        <v>4.8934098997499564E-3</v>
      </c>
      <c r="AU16" s="24">
        <v>1.5235248091937992E-2</v>
      </c>
      <c r="AV16" s="24">
        <v>1.6126764918219072E-2</v>
      </c>
      <c r="AW16" s="24">
        <v>2.1540722483505803E-2</v>
      </c>
      <c r="AX16" s="24">
        <v>2.7613026747848268E-2</v>
      </c>
      <c r="AY16" s="24">
        <v>2.6978579088403398E-2</v>
      </c>
      <c r="AZ16" s="24">
        <v>2.5079662791946955E-2</v>
      </c>
      <c r="BA16" s="24">
        <v>2.5870185947085789E-2</v>
      </c>
      <c r="BB16" s="24">
        <v>2.6893536703573639E-2</v>
      </c>
      <c r="BC16" s="24">
        <v>2.3026535336124088E-2</v>
      </c>
      <c r="BD16" s="24">
        <v>1.6693942729572031E-2</v>
      </c>
      <c r="BE16" s="24">
        <v>2.2786008601595631E-2</v>
      </c>
      <c r="BF16" s="24">
        <v>0</v>
      </c>
      <c r="BG16" s="16"/>
      <c r="BH16" s="17">
        <f t="shared" si="11"/>
        <v>459612.9458221891</v>
      </c>
      <c r="BI16" s="17">
        <f t="shared" si="12"/>
        <v>495888.20860072447</v>
      </c>
      <c r="BJ16" s="17">
        <f t="shared" si="13"/>
        <v>511366.36647356075</v>
      </c>
      <c r="BK16" s="17">
        <f t="shared" si="14"/>
        <v>543364.05471938197</v>
      </c>
      <c r="BL16" s="17">
        <f t="shared" si="15"/>
        <v>560852.69411762408</v>
      </c>
      <c r="BM16" s="17">
        <f t="shared" si="16"/>
        <v>574584.41624337586</v>
      </c>
      <c r="BN16" s="17">
        <f t="shared" si="17"/>
        <v>576651.45710943243</v>
      </c>
      <c r="BO16" s="17">
        <f t="shared" si="18"/>
        <v>587899.5576320301</v>
      </c>
      <c r="BP16" s="17">
        <f t="shared" si="19"/>
        <v>616331.66316523193</v>
      </c>
      <c r="BQ16" s="17">
        <f t="shared" si="20"/>
        <v>656691.42906542344</v>
      </c>
      <c r="BR16" s="17">
        <f t="shared" si="21"/>
        <v>640871.66149943299</v>
      </c>
      <c r="BS16" s="17">
        <f t="shared" si="22"/>
        <v>618402.70233369363</v>
      </c>
      <c r="BT16" s="17">
        <f t="shared" si="23"/>
        <v>651555.50387681974</v>
      </c>
      <c r="BU16" s="17">
        <f t="shared" si="24"/>
        <v>619930.2354725803</v>
      </c>
      <c r="BV16" s="17">
        <f t="shared" si="25"/>
        <v>586009.23781706009</v>
      </c>
      <c r="BW16" s="17">
        <f t="shared" si="26"/>
        <v>575283.07769613666</v>
      </c>
      <c r="BX16" s="17">
        <f t="shared" si="27"/>
        <v>572419.57059680845</v>
      </c>
      <c r="BY16" s="17">
        <f t="shared" si="28"/>
        <v>576328.57377894747</v>
      </c>
      <c r="BZ16" s="17">
        <f t="shared" si="29"/>
        <v>578901.52920268953</v>
      </c>
      <c r="CA16" s="17">
        <f t="shared" si="30"/>
        <v>606901.28513512528</v>
      </c>
      <c r="CB16" s="17">
        <f t="shared" si="31"/>
        <v>612523.38576364203</v>
      </c>
      <c r="CC16" s="18"/>
      <c r="CD16" s="19" t="s">
        <v>149</v>
      </c>
      <c r="CE16" s="19" t="s">
        <v>147</v>
      </c>
      <c r="CF16" s="19">
        <v>15</v>
      </c>
      <c r="CG16" s="19">
        <v>291240.74442433799</v>
      </c>
      <c r="CH16" s="19">
        <v>100.48525116843901</v>
      </c>
      <c r="CI16" s="19">
        <v>2898.3431999999998</v>
      </c>
      <c r="CJ16" s="16"/>
      <c r="CK16" s="19" t="s">
        <v>149</v>
      </c>
      <c r="CL16" s="19" t="s">
        <v>147</v>
      </c>
      <c r="CM16" s="20">
        <v>379144.70287284203</v>
      </c>
      <c r="CN16" s="19">
        <v>15</v>
      </c>
      <c r="CO16" s="20">
        <v>130.81429245697001</v>
      </c>
      <c r="CP16" s="20">
        <v>2898.3431072530202</v>
      </c>
      <c r="CQ16" s="16"/>
      <c r="CT16" s="17"/>
      <c r="DU16" s="13">
        <f t="shared" ref="DU16:DU25" si="42">11000000*CP16/(SUM(CP$16:CP$25))</f>
        <v>844193.89204545622</v>
      </c>
      <c r="DZ16" s="15">
        <f t="shared" si="4"/>
        <v>844193.89204545622</v>
      </c>
      <c r="EA16" s="15">
        <f t="shared" si="32"/>
        <v>645432.66113281378</v>
      </c>
      <c r="EB16" s="15">
        <f t="shared" si="33"/>
        <v>8.0004304460360998E-3</v>
      </c>
      <c r="EC16" s="15">
        <f t="shared" si="5"/>
        <v>222.69021894531298</v>
      </c>
      <c r="ED16" s="18"/>
      <c r="FN16" s="18"/>
    </row>
    <row r="17" spans="1:170" x14ac:dyDescent="0.3">
      <c r="A17" s="13">
        <v>16</v>
      </c>
      <c r="B17" s="13" t="s">
        <v>150</v>
      </c>
      <c r="C17" s="13" t="s">
        <v>151</v>
      </c>
      <c r="D17" s="13" t="s">
        <v>148</v>
      </c>
      <c r="F17" s="13">
        <f t="shared" si="41"/>
        <v>10</v>
      </c>
      <c r="G17" s="13">
        <f t="shared" si="0"/>
        <v>31.892265910302108</v>
      </c>
      <c r="H17" s="13">
        <f>(2*EA17)/$F17/$CI17</f>
        <v>44.538042363845079</v>
      </c>
      <c r="I17" s="13">
        <f t="shared" si="7"/>
        <v>0.71606797734315075</v>
      </c>
      <c r="J17" s="13">
        <f t="shared" si="1"/>
        <v>1</v>
      </c>
      <c r="K17" s="13">
        <f t="shared" si="8"/>
        <v>20</v>
      </c>
      <c r="M17" s="14">
        <f t="shared" si="9"/>
        <v>1279378.9974269308</v>
      </c>
      <c r="N17" s="14">
        <f t="shared" si="10"/>
        <v>1262934.2832874837</v>
      </c>
      <c r="P17" s="14">
        <v>533544.85442357894</v>
      </c>
      <c r="Q17" s="14">
        <v>631077.45452252706</v>
      </c>
      <c r="R17" s="14">
        <v>752333.02155487204</v>
      </c>
      <c r="S17" s="14">
        <v>905679.30695751403</v>
      </c>
      <c r="T17" s="14">
        <v>1063292.13950195</v>
      </c>
      <c r="U17" s="14">
        <v>1244995.2141380301</v>
      </c>
      <c r="V17" s="14">
        <v>1401329.6769627</v>
      </c>
      <c r="W17" s="14">
        <v>1373899.78437672</v>
      </c>
      <c r="X17" s="14">
        <v>1247681.1662454901</v>
      </c>
      <c r="Y17" s="14">
        <v>1104726.57020342</v>
      </c>
      <c r="Z17" s="14">
        <v>1106597.16388642</v>
      </c>
      <c r="AA17" s="14">
        <v>1038777.30602412</v>
      </c>
      <c r="AB17" s="14">
        <v>1059760.5159017199</v>
      </c>
      <c r="AC17" s="14">
        <v>1095720.06438843</v>
      </c>
      <c r="AD17" s="14">
        <v>1129850.44176849</v>
      </c>
      <c r="AE17" s="14">
        <v>1122690.43030959</v>
      </c>
      <c r="AF17" s="14">
        <v>1148907.98246946</v>
      </c>
      <c r="AG17" s="14">
        <v>1187966.40857162</v>
      </c>
      <c r="AH17" s="14">
        <v>1230463.16331817</v>
      </c>
      <c r="AI17" s="14">
        <v>1280863.4238666701</v>
      </c>
      <c r="AJ17" s="14">
        <v>1310520.08015889</v>
      </c>
      <c r="AL17" s="23">
        <v>3.2888721496165063E-2</v>
      </c>
      <c r="AM17" s="23">
        <v>2.8843039908195367E-2</v>
      </c>
      <c r="AN17" s="23">
        <v>2.3508826348185297E-2</v>
      </c>
      <c r="AO17" s="23">
        <v>1.727558717854083E-2</v>
      </c>
      <c r="AP17" s="23">
        <v>9.7904355801925469E-3</v>
      </c>
      <c r="AQ17" s="23">
        <v>1.8178580442596015E-3</v>
      </c>
      <c r="AR17" s="23">
        <v>-3.3449229627590116E-3</v>
      </c>
      <c r="AS17" s="23">
        <v>-1.1079319634054174E-3</v>
      </c>
      <c r="AT17" s="23">
        <v>4.8934098997499564E-3</v>
      </c>
      <c r="AU17" s="23">
        <v>1.5235248091937992E-2</v>
      </c>
      <c r="AV17" s="23">
        <v>1.6126764918219072E-2</v>
      </c>
      <c r="AW17" s="23">
        <v>2.1540722483505803E-2</v>
      </c>
      <c r="AX17" s="23">
        <v>2.7613026747848268E-2</v>
      </c>
      <c r="AY17" s="23">
        <v>2.6978579088403398E-2</v>
      </c>
      <c r="AZ17" s="23">
        <v>2.5079662791946955E-2</v>
      </c>
      <c r="BA17" s="23">
        <v>2.5870185947085789E-2</v>
      </c>
      <c r="BB17" s="23">
        <v>2.6893536703573639E-2</v>
      </c>
      <c r="BC17" s="23">
        <v>2.3026535336124088E-2</v>
      </c>
      <c r="BD17" s="23">
        <v>1.6693942729572031E-2</v>
      </c>
      <c r="BE17" s="23">
        <v>2.2786008601595631E-2</v>
      </c>
      <c r="BF17" s="23">
        <v>0</v>
      </c>
      <c r="BH17" s="14">
        <f t="shared" si="11"/>
        <v>1019158.2874166472</v>
      </c>
      <c r="BI17" s="14">
        <f t="shared" si="12"/>
        <v>1083218.3784918005</v>
      </c>
      <c r="BJ17" s="14">
        <f t="shared" si="13"/>
        <v>1143033.0398771968</v>
      </c>
      <c r="BK17" s="14">
        <f t="shared" si="14"/>
        <v>1211800.2130246339</v>
      </c>
      <c r="BL17" s="14">
        <f t="shared" si="15"/>
        <v>1242660.9451163244</v>
      </c>
      <c r="BM17" s="14">
        <f t="shared" si="16"/>
        <v>1279378.9974269308</v>
      </c>
      <c r="BN17" s="14">
        <f t="shared" si="17"/>
        <v>1337114.7741841103</v>
      </c>
      <c r="BO17" s="14">
        <f t="shared" si="18"/>
        <v>1354242.3596015193</v>
      </c>
      <c r="BP17" s="14">
        <f t="shared" si="19"/>
        <v>1322950.5067427063</v>
      </c>
      <c r="BQ17" s="14">
        <f t="shared" si="20"/>
        <v>1304633.01322709</v>
      </c>
      <c r="BR17" s="14">
        <f t="shared" si="21"/>
        <v>1298579.2581667535</v>
      </c>
      <c r="BS17" s="14">
        <f t="shared" si="22"/>
        <v>1258414.1950803262</v>
      </c>
      <c r="BT17" s="14">
        <f t="shared" si="23"/>
        <v>1317784.9495221244</v>
      </c>
      <c r="BU17" s="14">
        <f t="shared" si="24"/>
        <v>1320168.3297871125</v>
      </c>
      <c r="BV17" s="14">
        <f t="shared" si="25"/>
        <v>1310891.2478449547</v>
      </c>
      <c r="BW17" s="14">
        <f t="shared" si="26"/>
        <v>1275622.1830079779</v>
      </c>
      <c r="BX17" s="14">
        <f t="shared" si="27"/>
        <v>1277576.540559622</v>
      </c>
      <c r="BY17" s="14">
        <f t="shared" si="28"/>
        <v>1271934.8194850693</v>
      </c>
      <c r="BZ17" s="14">
        <f t="shared" si="29"/>
        <v>1271888.6414550098</v>
      </c>
      <c r="CA17" s="14">
        <f t="shared" si="30"/>
        <v>1310049.1888603652</v>
      </c>
      <c r="CB17" s="14">
        <f t="shared" si="31"/>
        <v>1310520.08015889</v>
      </c>
      <c r="CD17" s="13" t="s">
        <v>152</v>
      </c>
      <c r="CE17" s="13" t="s">
        <v>151</v>
      </c>
      <c r="CF17" s="13">
        <v>16</v>
      </c>
      <c r="CG17" s="13">
        <v>125150.583351329</v>
      </c>
      <c r="CH17" s="13">
        <v>61.809276944634597</v>
      </c>
      <c r="CI17" s="13">
        <v>2024.7864</v>
      </c>
      <c r="CK17" s="13" t="s">
        <v>150</v>
      </c>
      <c r="CL17" s="13" t="s">
        <v>151</v>
      </c>
      <c r="CM17" s="14">
        <v>189725.60356047301</v>
      </c>
      <c r="CN17" s="13">
        <v>16</v>
      </c>
      <c r="CO17" s="14">
        <v>93.701542854936704</v>
      </c>
      <c r="CP17" s="14">
        <v>2024.78633520683</v>
      </c>
      <c r="CT17" s="14"/>
      <c r="DU17" s="13">
        <f t="shared" si="42"/>
        <v>589754.97159090824</v>
      </c>
      <c r="DZ17" s="13">
        <f t="shared" si="4"/>
        <v>589754.97159090824</v>
      </c>
      <c r="EA17" s="13">
        <f t="shared" si="32"/>
        <v>450900.11230468686</v>
      </c>
      <c r="EB17" s="13">
        <f t="shared" si="33"/>
        <v>5.5891113106549192E-3</v>
      </c>
      <c r="EC17" s="13">
        <f t="shared" si="5"/>
        <v>222.69021894531298</v>
      </c>
    </row>
    <row r="18" spans="1:170" s="8" customFormat="1" x14ac:dyDescent="0.3">
      <c r="A18" s="8">
        <v>17</v>
      </c>
      <c r="B18" s="8" t="s">
        <v>153</v>
      </c>
      <c r="C18" s="8" t="s">
        <v>154</v>
      </c>
      <c r="D18" s="8" t="s">
        <v>148</v>
      </c>
      <c r="F18" s="8">
        <f t="shared" si="41"/>
        <v>10</v>
      </c>
      <c r="G18" s="8">
        <f t="shared" si="0"/>
        <v>40.861221988466099</v>
      </c>
      <c r="H18" s="8">
        <f>(2*EA18)/$F18/$CI18</f>
        <v>109.96273057281121</v>
      </c>
      <c r="I18" s="8">
        <f t="shared" si="7"/>
        <v>0.3715915544804525</v>
      </c>
      <c r="J18" s="8">
        <f t="shared" si="1"/>
        <v>2</v>
      </c>
      <c r="K18" s="8">
        <f t="shared" si="8"/>
        <v>10</v>
      </c>
      <c r="M18" s="10">
        <f t="shared" si="9"/>
        <v>1138580.2615366192</v>
      </c>
      <c r="N18" s="10">
        <f t="shared" si="10"/>
        <v>1143664.6925213521</v>
      </c>
      <c r="O18" s="11"/>
      <c r="P18" s="10">
        <v>502493.325413646</v>
      </c>
      <c r="Q18" s="10">
        <v>614984.307854446</v>
      </c>
      <c r="R18" s="10">
        <v>719320.25207704306</v>
      </c>
      <c r="S18" s="10">
        <v>838188.27714167896</v>
      </c>
      <c r="T18" s="10">
        <v>954652.34895242704</v>
      </c>
      <c r="U18" s="10">
        <v>1107980.49630018</v>
      </c>
      <c r="V18" s="10">
        <v>1239877.4329407001</v>
      </c>
      <c r="W18" s="10">
        <v>1239454.74821583</v>
      </c>
      <c r="X18" s="10">
        <v>1230355.6794391901</v>
      </c>
      <c r="Y18" s="10">
        <v>1085610.7161894401</v>
      </c>
      <c r="Z18" s="10">
        <v>1060972.2454444</v>
      </c>
      <c r="AA18" s="10">
        <v>1003157.0817802</v>
      </c>
      <c r="AB18" s="10">
        <v>960271.49136157602</v>
      </c>
      <c r="AC18" s="10">
        <v>956013.15276848502</v>
      </c>
      <c r="AD18" s="10">
        <v>927012.64913354896</v>
      </c>
      <c r="AE18" s="10">
        <v>935163.38306286198</v>
      </c>
      <c r="AF18" s="10">
        <v>977003.10548843897</v>
      </c>
      <c r="AG18" s="10">
        <v>1005213.92223774</v>
      </c>
      <c r="AH18" s="10">
        <v>1075692.0958137701</v>
      </c>
      <c r="AI18" s="10">
        <v>1134826.94282435</v>
      </c>
      <c r="AJ18" s="10">
        <v>1161853.7956858401</v>
      </c>
      <c r="AK18" s="11"/>
      <c r="AL18" s="22">
        <v>3.2888721496165063E-2</v>
      </c>
      <c r="AM18" s="22">
        <v>2.8843039908195367E-2</v>
      </c>
      <c r="AN18" s="22">
        <v>2.3508826348185297E-2</v>
      </c>
      <c r="AO18" s="22">
        <v>1.727558717854083E-2</v>
      </c>
      <c r="AP18" s="22">
        <v>9.7904355801925469E-3</v>
      </c>
      <c r="AQ18" s="22">
        <v>1.8178580442596015E-3</v>
      </c>
      <c r="AR18" s="22">
        <v>-3.3449229627590116E-3</v>
      </c>
      <c r="AS18" s="22">
        <v>-1.1079319634054174E-3</v>
      </c>
      <c r="AT18" s="22">
        <v>4.8934098997499564E-3</v>
      </c>
      <c r="AU18" s="22">
        <v>1.5235248091937992E-2</v>
      </c>
      <c r="AV18" s="22">
        <v>1.6126764918219072E-2</v>
      </c>
      <c r="AW18" s="22">
        <v>2.1540722483505803E-2</v>
      </c>
      <c r="AX18" s="22">
        <v>2.7613026747848268E-2</v>
      </c>
      <c r="AY18" s="22">
        <v>2.6978579088403398E-2</v>
      </c>
      <c r="AZ18" s="22">
        <v>2.5079662791946955E-2</v>
      </c>
      <c r="BA18" s="22">
        <v>2.5870185947085789E-2</v>
      </c>
      <c r="BB18" s="22">
        <v>2.6893536703573639E-2</v>
      </c>
      <c r="BC18" s="22">
        <v>2.3026535336124088E-2</v>
      </c>
      <c r="BD18" s="22">
        <v>1.6693942729572031E-2</v>
      </c>
      <c r="BE18" s="22">
        <v>2.2786008601595631E-2</v>
      </c>
      <c r="BF18" s="22">
        <v>0</v>
      </c>
      <c r="BG18" s="11"/>
      <c r="BH18" s="10">
        <f t="shared" si="11"/>
        <v>959844.76791579626</v>
      </c>
      <c r="BI18" s="10">
        <f t="shared" si="12"/>
        <v>1055595.1571047858</v>
      </c>
      <c r="BJ18" s="10">
        <f t="shared" si="13"/>
        <v>1092876.1476899837</v>
      </c>
      <c r="BK18" s="10">
        <f t="shared" si="14"/>
        <v>1121497.118231813</v>
      </c>
      <c r="BL18" s="10">
        <f t="shared" si="15"/>
        <v>1115694.498374091</v>
      </c>
      <c r="BM18" s="10">
        <f t="shared" si="16"/>
        <v>1138580.2615366192</v>
      </c>
      <c r="BN18" s="10">
        <f t="shared" si="17"/>
        <v>1183060.9606126302</v>
      </c>
      <c r="BO18" s="10">
        <f t="shared" si="18"/>
        <v>1221720.9303985639</v>
      </c>
      <c r="BP18" s="10">
        <f t="shared" si="19"/>
        <v>1304579.8186454165</v>
      </c>
      <c r="BQ18" s="10">
        <f t="shared" si="20"/>
        <v>1282058.0386629535</v>
      </c>
      <c r="BR18" s="10">
        <f t="shared" si="21"/>
        <v>1245038.9323120613</v>
      </c>
      <c r="BS18" s="10">
        <f t="shared" si="22"/>
        <v>1215262.5055309469</v>
      </c>
      <c r="BT18" s="10">
        <f t="shared" si="23"/>
        <v>1194072.9058911297</v>
      </c>
      <c r="BU18" s="10">
        <f t="shared" si="24"/>
        <v>1151843.7310439465</v>
      </c>
      <c r="BV18" s="10">
        <f t="shared" si="25"/>
        <v>1075551.8814407263</v>
      </c>
      <c r="BW18" s="10">
        <f t="shared" si="26"/>
        <v>1062550.3914225213</v>
      </c>
      <c r="BX18" s="10">
        <f t="shared" si="27"/>
        <v>1086419.6843188934</v>
      </c>
      <c r="BY18" s="10">
        <f t="shared" si="28"/>
        <v>1076264.934344948</v>
      </c>
      <c r="BZ18" s="10">
        <f t="shared" si="29"/>
        <v>1111906.9624798615</v>
      </c>
      <c r="CA18" s="10">
        <f t="shared" si="30"/>
        <v>1160685.1193048682</v>
      </c>
      <c r="CB18" s="10">
        <f t="shared" si="31"/>
        <v>1161853.7956858401</v>
      </c>
      <c r="CC18" s="12"/>
      <c r="CD18" s="13" t="s">
        <v>153</v>
      </c>
      <c r="CE18" s="13" t="s">
        <v>154</v>
      </c>
      <c r="CF18" s="13">
        <v>17</v>
      </c>
      <c r="CG18" s="13">
        <v>175191.91721432601</v>
      </c>
      <c r="CH18" s="13">
        <v>49.971885870335498</v>
      </c>
      <c r="CI18" s="13">
        <v>3505.8096</v>
      </c>
      <c r="CJ18" s="11"/>
      <c r="CK18" s="13" t="s">
        <v>153</v>
      </c>
      <c r="CL18" s="13" t="s">
        <v>154</v>
      </c>
      <c r="CM18" s="14">
        <v>318443.57133902801</v>
      </c>
      <c r="CN18" s="13">
        <v>17</v>
      </c>
      <c r="CO18" s="14">
        <v>90.833107858801597</v>
      </c>
      <c r="CP18" s="14">
        <v>3505.8094878140901</v>
      </c>
      <c r="CQ18" s="11"/>
      <c r="CT18" s="10"/>
      <c r="DS18" s="8">
        <v>1500000</v>
      </c>
      <c r="DU18" s="13">
        <f t="shared" si="42"/>
        <v>1021129.2613636368</v>
      </c>
      <c r="DZ18" s="8">
        <f t="shared" si="4"/>
        <v>2521129.2613636367</v>
      </c>
      <c r="EA18" s="8">
        <f t="shared" si="32"/>
        <v>1927541.9824218752</v>
      </c>
      <c r="EB18" s="8">
        <f t="shared" si="33"/>
        <v>2.3892756736411055E-2</v>
      </c>
      <c r="EC18" s="8">
        <f t="shared" si="5"/>
        <v>549.81367045809395</v>
      </c>
      <c r="ED18" s="12"/>
      <c r="FN18" s="12"/>
    </row>
    <row r="19" spans="1:170" x14ac:dyDescent="0.3">
      <c r="A19" s="13">
        <v>18</v>
      </c>
      <c r="B19" s="13" t="s">
        <v>155</v>
      </c>
      <c r="C19" s="13" t="s">
        <v>156</v>
      </c>
      <c r="D19" s="13" t="s">
        <v>148</v>
      </c>
      <c r="F19" s="13">
        <f t="shared" si="41"/>
        <v>10</v>
      </c>
      <c r="G19" s="13">
        <f t="shared" si="0"/>
        <v>43.9648354041422</v>
      </c>
      <c r="H19" s="13">
        <f>(2*EA19)/$F19/$CI19</f>
        <v>44.538042363845165</v>
      </c>
      <c r="I19" s="13">
        <f t="shared" si="7"/>
        <v>0.98712994713552382</v>
      </c>
      <c r="J19" s="13">
        <f t="shared" si="1"/>
        <v>1</v>
      </c>
      <c r="K19" s="13">
        <f t="shared" si="8"/>
        <v>20</v>
      </c>
      <c r="M19" s="14">
        <f t="shared" si="9"/>
        <v>273635.06973569852</v>
      </c>
      <c r="N19" s="14">
        <f t="shared" si="10"/>
        <v>275392.83866015438</v>
      </c>
      <c r="P19" s="14">
        <v>130217.47874659</v>
      </c>
      <c r="Q19" s="14">
        <v>145360.18442121701</v>
      </c>
      <c r="R19" s="14">
        <v>168419.003704548</v>
      </c>
      <c r="S19" s="14">
        <v>203917.21946901301</v>
      </c>
      <c r="T19" s="14">
        <v>239518.036072649</v>
      </c>
      <c r="U19" s="14">
        <v>274345.16855720198</v>
      </c>
      <c r="V19" s="14">
        <v>304406.88133731502</v>
      </c>
      <c r="W19" s="14">
        <v>291069.473085918</v>
      </c>
      <c r="X19" s="14">
        <v>272212.33662009198</v>
      </c>
      <c r="Y19" s="14">
        <v>248954.11043592499</v>
      </c>
      <c r="Z19" s="14">
        <v>240051.064226585</v>
      </c>
      <c r="AA19" s="14">
        <v>223286.76330989599</v>
      </c>
      <c r="AB19" s="14">
        <v>218336.71658082999</v>
      </c>
      <c r="AC19" s="14">
        <v>222884.27673602701</v>
      </c>
      <c r="AD19" s="14">
        <v>235844.662882971</v>
      </c>
      <c r="AE19" s="14">
        <v>238032.33844168301</v>
      </c>
      <c r="AF19" s="14">
        <v>245140.476429328</v>
      </c>
      <c r="AG19" s="14">
        <v>254780.994183081</v>
      </c>
      <c r="AH19" s="14">
        <v>265554.59655980801</v>
      </c>
      <c r="AI19" s="14">
        <v>278420.13112983201</v>
      </c>
      <c r="AJ19" s="14">
        <v>293473.00513772701</v>
      </c>
      <c r="AL19" s="23">
        <v>3.2888721496165063E-2</v>
      </c>
      <c r="AM19" s="23">
        <v>2.8843039908195367E-2</v>
      </c>
      <c r="AN19" s="23">
        <v>2.3508826348185297E-2</v>
      </c>
      <c r="AO19" s="23">
        <v>1.727558717854083E-2</v>
      </c>
      <c r="AP19" s="23">
        <v>9.7904355801925469E-3</v>
      </c>
      <c r="AQ19" s="23">
        <v>1.8178580442596015E-3</v>
      </c>
      <c r="AR19" s="23">
        <v>-3.3449229627590116E-3</v>
      </c>
      <c r="AS19" s="23">
        <v>-1.1079319634054174E-3</v>
      </c>
      <c r="AT19" s="23">
        <v>4.8934098997499564E-3</v>
      </c>
      <c r="AU19" s="23">
        <v>1.5235248091937992E-2</v>
      </c>
      <c r="AV19" s="23">
        <v>1.6126764918219072E-2</v>
      </c>
      <c r="AW19" s="23">
        <v>2.1540722483505803E-2</v>
      </c>
      <c r="AX19" s="23">
        <v>2.7613026747848268E-2</v>
      </c>
      <c r="AY19" s="23">
        <v>2.6978579088403398E-2</v>
      </c>
      <c r="AZ19" s="23">
        <v>2.5079662791946955E-2</v>
      </c>
      <c r="BA19" s="23">
        <v>2.5870185947085789E-2</v>
      </c>
      <c r="BB19" s="23">
        <v>2.6893536703573639E-2</v>
      </c>
      <c r="BC19" s="23">
        <v>2.3026535336124088E-2</v>
      </c>
      <c r="BD19" s="23">
        <v>1.6693942729572031E-2</v>
      </c>
      <c r="BE19" s="23">
        <v>2.2786008601595631E-2</v>
      </c>
      <c r="BF19" s="23">
        <v>0</v>
      </c>
      <c r="BH19" s="14">
        <f t="shared" si="11"/>
        <v>248736.76792266214</v>
      </c>
      <c r="BI19" s="14">
        <f t="shared" si="12"/>
        <v>249504.75118010919</v>
      </c>
      <c r="BJ19" s="14">
        <f t="shared" si="13"/>
        <v>255882.01004341745</v>
      </c>
      <c r="BK19" s="14">
        <f t="shared" si="14"/>
        <v>272841.53242062859</v>
      </c>
      <c r="BL19" s="14">
        <f t="shared" si="15"/>
        <v>279922.79639898351</v>
      </c>
      <c r="BM19" s="14">
        <f t="shared" si="16"/>
        <v>281921.9244474314</v>
      </c>
      <c r="BN19" s="14">
        <f t="shared" si="17"/>
        <v>290457.65967194835</v>
      </c>
      <c r="BO19" s="14">
        <f t="shared" si="18"/>
        <v>286904.92168514791</v>
      </c>
      <c r="BP19" s="14">
        <f t="shared" si="19"/>
        <v>288634.19470925158</v>
      </c>
      <c r="BQ19" s="14">
        <f t="shared" si="20"/>
        <v>294003.74718377984</v>
      </c>
      <c r="BR19" s="14">
        <f t="shared" si="21"/>
        <v>281697.20931753045</v>
      </c>
      <c r="BS19" s="14">
        <f t="shared" si="22"/>
        <v>270498.04697619152</v>
      </c>
      <c r="BT19" s="14">
        <f t="shared" si="23"/>
        <v>271496.09248602926</v>
      </c>
      <c r="BU19" s="14">
        <f t="shared" si="24"/>
        <v>268540.08876677859</v>
      </c>
      <c r="BV19" s="14">
        <f t="shared" si="25"/>
        <v>273635.06973569852</v>
      </c>
      <c r="BW19" s="14">
        <f t="shared" si="26"/>
        <v>270456.8623656503</v>
      </c>
      <c r="BX19" s="14">
        <f t="shared" si="27"/>
        <v>272594.26046858676</v>
      </c>
      <c r="BY19" s="14">
        <f t="shared" si="28"/>
        <v>272789.5464941056</v>
      </c>
      <c r="BZ19" s="14">
        <f t="shared" si="29"/>
        <v>274494.90981897147</v>
      </c>
      <c r="CA19" s="14">
        <f t="shared" si="30"/>
        <v>284764.21463261376</v>
      </c>
      <c r="CB19" s="14">
        <f t="shared" si="31"/>
        <v>293473.00513772701</v>
      </c>
      <c r="CD19" s="13" t="s">
        <v>157</v>
      </c>
      <c r="CE19" s="13" t="s">
        <v>156</v>
      </c>
      <c r="CF19" s="13">
        <v>18</v>
      </c>
      <c r="CG19" s="13">
        <v>180334.55408082201</v>
      </c>
      <c r="CH19" s="13">
        <v>62.9815626440028</v>
      </c>
      <c r="CI19" s="13">
        <v>2863.2912000000001</v>
      </c>
      <c r="CK19" s="13" t="s">
        <v>157</v>
      </c>
      <c r="CL19" s="13" t="s">
        <v>156</v>
      </c>
      <c r="CM19" s="14">
        <v>306218.67060395301</v>
      </c>
      <c r="CN19" s="13">
        <v>18</v>
      </c>
      <c r="CO19" s="14">
        <v>106.946398048145</v>
      </c>
      <c r="CP19" s="14">
        <v>2863.2911083746799</v>
      </c>
      <c r="CT19" s="14"/>
      <c r="DU19" s="13">
        <f t="shared" si="42"/>
        <v>833984.37500000047</v>
      </c>
      <c r="DZ19" s="13">
        <f t="shared" si="4"/>
        <v>833984.37500000047</v>
      </c>
      <c r="EA19" s="13">
        <f t="shared" si="32"/>
        <v>637626.92382812535</v>
      </c>
      <c r="EB19" s="13">
        <f t="shared" si="33"/>
        <v>7.9036747933602918E-3</v>
      </c>
      <c r="EC19" s="13">
        <f t="shared" si="5"/>
        <v>222.69021894531298</v>
      </c>
    </row>
    <row r="20" spans="1:170" s="8" customFormat="1" x14ac:dyDescent="0.3">
      <c r="A20" s="8">
        <v>19</v>
      </c>
      <c r="B20" s="8" t="s">
        <v>158</v>
      </c>
      <c r="C20" s="8" t="s">
        <v>159</v>
      </c>
      <c r="D20" s="8" t="s">
        <v>148</v>
      </c>
      <c r="F20" s="8">
        <f t="shared" si="41"/>
        <v>10</v>
      </c>
      <c r="G20" s="8">
        <f t="shared" si="0"/>
        <v>48.184607406926702</v>
      </c>
      <c r="H20" s="8">
        <f>(2*EA20)/$F20/$CI20</f>
        <v>44.538042363845243</v>
      </c>
      <c r="I20" s="8">
        <f t="shared" si="7"/>
        <v>1.0818752879457862</v>
      </c>
      <c r="J20" s="8">
        <f t="shared" si="1"/>
        <v>1</v>
      </c>
      <c r="K20" s="8">
        <f t="shared" si="8"/>
        <v>20</v>
      </c>
      <c r="M20" s="10">
        <f t="shared" si="9"/>
        <v>254315.70823158871</v>
      </c>
      <c r="N20" s="10">
        <f t="shared" si="10"/>
        <v>253519.70358114797</v>
      </c>
      <c r="O20" s="11"/>
      <c r="P20" s="10">
        <v>119460.56195163701</v>
      </c>
      <c r="Q20" s="10">
        <v>133147.80766326599</v>
      </c>
      <c r="R20" s="10">
        <v>154658.35750168201</v>
      </c>
      <c r="S20" s="10">
        <v>188748.063607827</v>
      </c>
      <c r="T20" s="10">
        <v>223205.951405589</v>
      </c>
      <c r="U20" s="10">
        <v>253250.48708710301</v>
      </c>
      <c r="V20" s="10">
        <v>278275.66578884498</v>
      </c>
      <c r="W20" s="10">
        <v>267749.67474817799</v>
      </c>
      <c r="X20" s="10">
        <v>248986.34889094401</v>
      </c>
      <c r="Y20" s="10">
        <v>227325.95908176401</v>
      </c>
      <c r="Z20" s="10">
        <v>223607.15804317599</v>
      </c>
      <c r="AA20" s="10">
        <v>208117.69835778099</v>
      </c>
      <c r="AB20" s="10">
        <v>204521.81463109399</v>
      </c>
      <c r="AC20" s="10">
        <v>208167.95369739601</v>
      </c>
      <c r="AD20" s="10">
        <v>219724.901677938</v>
      </c>
      <c r="AE20" s="10">
        <v>222362.87496575899</v>
      </c>
      <c r="AF20" s="10">
        <v>228702.811908756</v>
      </c>
      <c r="AG20" s="10">
        <v>235849.890093336</v>
      </c>
      <c r="AH20" s="10">
        <v>241574.81602760701</v>
      </c>
      <c r="AI20" s="10">
        <v>248541.351158929</v>
      </c>
      <c r="AJ20" s="10">
        <v>258663.36800076999</v>
      </c>
      <c r="AK20" s="11"/>
      <c r="AL20" s="22">
        <v>3.2888721496165063E-2</v>
      </c>
      <c r="AM20" s="22">
        <v>2.8843039908195367E-2</v>
      </c>
      <c r="AN20" s="22">
        <v>2.3508826348185297E-2</v>
      </c>
      <c r="AO20" s="22">
        <v>1.727558717854083E-2</v>
      </c>
      <c r="AP20" s="22">
        <v>9.7904355801925469E-3</v>
      </c>
      <c r="AQ20" s="22">
        <v>1.8178580442596015E-3</v>
      </c>
      <c r="AR20" s="22">
        <v>-3.3449229627590116E-3</v>
      </c>
      <c r="AS20" s="22">
        <v>-1.1079319634054174E-3</v>
      </c>
      <c r="AT20" s="22">
        <v>4.8934098997499564E-3</v>
      </c>
      <c r="AU20" s="22">
        <v>1.5235248091937992E-2</v>
      </c>
      <c r="AV20" s="22">
        <v>1.6126764918219072E-2</v>
      </c>
      <c r="AW20" s="22">
        <v>2.1540722483505803E-2</v>
      </c>
      <c r="AX20" s="22">
        <v>2.7613026747848268E-2</v>
      </c>
      <c r="AY20" s="22">
        <v>2.6978579088403398E-2</v>
      </c>
      <c r="AZ20" s="22">
        <v>2.5079662791946955E-2</v>
      </c>
      <c r="BA20" s="22">
        <v>2.5870185947085789E-2</v>
      </c>
      <c r="BB20" s="22">
        <v>2.6893536703573639E-2</v>
      </c>
      <c r="BC20" s="22">
        <v>2.3026535336124088E-2</v>
      </c>
      <c r="BD20" s="22">
        <v>1.6693942729572031E-2</v>
      </c>
      <c r="BE20" s="22">
        <v>2.2786008601595631E-2</v>
      </c>
      <c r="BF20" s="22">
        <v>0</v>
      </c>
      <c r="BG20" s="11"/>
      <c r="BH20" s="10">
        <f t="shared" si="11"/>
        <v>228189.29040932044</v>
      </c>
      <c r="BI20" s="10">
        <f t="shared" si="12"/>
        <v>228542.71101455225</v>
      </c>
      <c r="BJ20" s="10">
        <f t="shared" si="13"/>
        <v>234975.21370550166</v>
      </c>
      <c r="BK20" s="10">
        <f t="shared" si="14"/>
        <v>252545.18009947374</v>
      </c>
      <c r="BL20" s="10">
        <f t="shared" si="15"/>
        <v>260858.99464955929</v>
      </c>
      <c r="BM20" s="10">
        <f t="shared" si="16"/>
        <v>260244.65844368952</v>
      </c>
      <c r="BN20" s="10">
        <f t="shared" si="17"/>
        <v>265523.88787530718</v>
      </c>
      <c r="BO20" s="10">
        <f t="shared" si="18"/>
        <v>263918.77736410534</v>
      </c>
      <c r="BP20" s="10">
        <f t="shared" si="19"/>
        <v>264007.04390570207</v>
      </c>
      <c r="BQ20" s="10">
        <f t="shared" si="20"/>
        <v>268461.86104401329</v>
      </c>
      <c r="BR20" s="10">
        <f t="shared" si="21"/>
        <v>262400.47136275412</v>
      </c>
      <c r="BS20" s="10">
        <f t="shared" si="22"/>
        <v>252121.6668308654</v>
      </c>
      <c r="BT20" s="10">
        <f t="shared" si="23"/>
        <v>254317.6171651255</v>
      </c>
      <c r="BU20" s="10">
        <f t="shared" si="24"/>
        <v>250809.26112389818</v>
      </c>
      <c r="BV20" s="10">
        <f t="shared" si="25"/>
        <v>254932.36971466491</v>
      </c>
      <c r="BW20" s="10">
        <f t="shared" si="26"/>
        <v>252652.92045424553</v>
      </c>
      <c r="BX20" s="10">
        <f t="shared" si="27"/>
        <v>254315.70823158871</v>
      </c>
      <c r="BY20" s="10">
        <f t="shared" si="28"/>
        <v>252520.34503411234</v>
      </c>
      <c r="BZ20" s="10">
        <f t="shared" si="29"/>
        <v>249707.81225057077</v>
      </c>
      <c r="CA20" s="10">
        <f t="shared" si="30"/>
        <v>254204.61652428855</v>
      </c>
      <c r="CB20" s="10">
        <f t="shared" si="31"/>
        <v>258663.36800076999</v>
      </c>
      <c r="CC20" s="12"/>
      <c r="CD20" s="13" t="s">
        <v>160</v>
      </c>
      <c r="CE20" s="13" t="s">
        <v>161</v>
      </c>
      <c r="CF20" s="13">
        <v>19</v>
      </c>
      <c r="CG20" s="13">
        <v>177035.603567076</v>
      </c>
      <c r="CH20" s="13">
        <v>74.378982074605304</v>
      </c>
      <c r="CI20" s="13">
        <v>2380.1831999999999</v>
      </c>
      <c r="CJ20" s="11"/>
      <c r="CK20" s="13" t="s">
        <v>162</v>
      </c>
      <c r="CL20" s="13" t="s">
        <v>159</v>
      </c>
      <c r="CM20" s="14">
        <v>291723.78728047898</v>
      </c>
      <c r="CN20" s="13">
        <v>19</v>
      </c>
      <c r="CO20" s="14">
        <v>122.56358948153201</v>
      </c>
      <c r="CP20" s="14">
        <v>2380.1831238341401</v>
      </c>
      <c r="CQ20" s="11"/>
      <c r="CT20" s="10"/>
      <c r="DU20" s="13">
        <f t="shared" si="42"/>
        <v>693270.59659091057</v>
      </c>
      <c r="DZ20" s="8">
        <f t="shared" si="4"/>
        <v>693270.59659091057</v>
      </c>
      <c r="EA20" s="8">
        <f t="shared" si="32"/>
        <v>530043.50097656366</v>
      </c>
      <c r="EB20" s="8">
        <f t="shared" si="33"/>
        <v>6.5701294934373657E-3</v>
      </c>
      <c r="EC20" s="8">
        <f t="shared" si="5"/>
        <v>222.69021894531298</v>
      </c>
      <c r="ED20" s="12"/>
      <c r="FN20" s="12"/>
    </row>
    <row r="21" spans="1:170" x14ac:dyDescent="0.3">
      <c r="A21" s="13">
        <v>20</v>
      </c>
      <c r="B21" s="13" t="s">
        <v>163</v>
      </c>
      <c r="C21" s="13" t="s">
        <v>164</v>
      </c>
      <c r="D21" s="13" t="s">
        <v>148</v>
      </c>
      <c r="F21" s="13">
        <f t="shared" si="41"/>
        <v>10</v>
      </c>
      <c r="G21" s="13">
        <f t="shared" si="0"/>
        <v>69.975566173519113</v>
      </c>
      <c r="H21" s="13">
        <f>(2*EA21)/$F21/$CI21</f>
        <v>44.538042363845221</v>
      </c>
      <c r="I21" s="13">
        <f t="shared" si="7"/>
        <v>1.5711414884800456</v>
      </c>
      <c r="J21" s="13">
        <f t="shared" si="1"/>
        <v>1</v>
      </c>
      <c r="K21" s="13">
        <f t="shared" si="8"/>
        <v>20</v>
      </c>
      <c r="M21" s="14">
        <f t="shared" si="9"/>
        <v>628105.06656645378</v>
      </c>
      <c r="N21" s="14">
        <f t="shared" si="10"/>
        <v>620437.64764160756</v>
      </c>
      <c r="P21" s="14">
        <v>253909.51083928201</v>
      </c>
      <c r="Q21" s="14">
        <v>308335.67617576802</v>
      </c>
      <c r="R21" s="14">
        <v>355598.39979310799</v>
      </c>
      <c r="S21" s="14">
        <v>441424.14370127098</v>
      </c>
      <c r="T21" s="14">
        <v>531899.53013713902</v>
      </c>
      <c r="U21" s="14">
        <v>633623.54998494696</v>
      </c>
      <c r="V21" s="14">
        <v>708445.72346212098</v>
      </c>
      <c r="W21" s="14">
        <v>684990.383300032</v>
      </c>
      <c r="X21" s="14">
        <v>614695.81194147898</v>
      </c>
      <c r="Y21" s="14">
        <v>577813.65948635701</v>
      </c>
      <c r="Z21" s="14">
        <v>578508.65291926695</v>
      </c>
      <c r="AA21" s="14">
        <v>536802.93060660898</v>
      </c>
      <c r="AB21" s="14">
        <v>554525.30941522005</v>
      </c>
      <c r="AC21" s="14">
        <v>521317.85655839503</v>
      </c>
      <c r="AD21" s="14">
        <v>495473.76853660902</v>
      </c>
      <c r="AE21" s="14">
        <v>518906.16738987999</v>
      </c>
      <c r="AF21" s="14">
        <v>549066.26941968198</v>
      </c>
      <c r="AG21" s="14">
        <v>568421.58509510697</v>
      </c>
      <c r="AH21" s="14">
        <v>591967.33591038699</v>
      </c>
      <c r="AI21" s="14">
        <v>621483.95318543504</v>
      </c>
      <c r="AJ21" s="14">
        <v>647996.42450437497</v>
      </c>
      <c r="AL21" s="23">
        <v>3.2888721496165063E-2</v>
      </c>
      <c r="AM21" s="23">
        <v>2.8843039908195367E-2</v>
      </c>
      <c r="AN21" s="23">
        <v>2.3508826348185297E-2</v>
      </c>
      <c r="AO21" s="23">
        <v>1.727558717854083E-2</v>
      </c>
      <c r="AP21" s="23">
        <v>9.7904355801925469E-3</v>
      </c>
      <c r="AQ21" s="23">
        <v>1.8178580442596015E-3</v>
      </c>
      <c r="AR21" s="23">
        <v>-3.3449229627590116E-3</v>
      </c>
      <c r="AS21" s="23">
        <v>-1.1079319634054174E-3</v>
      </c>
      <c r="AT21" s="23">
        <v>4.8934098997499564E-3</v>
      </c>
      <c r="AU21" s="23">
        <v>1.5235248091937992E-2</v>
      </c>
      <c r="AV21" s="23">
        <v>1.6126764918219072E-2</v>
      </c>
      <c r="AW21" s="23">
        <v>2.1540722483505803E-2</v>
      </c>
      <c r="AX21" s="23">
        <v>2.7613026747848268E-2</v>
      </c>
      <c r="AY21" s="23">
        <v>2.6978579088403398E-2</v>
      </c>
      <c r="AZ21" s="23">
        <v>2.5079662791946955E-2</v>
      </c>
      <c r="BA21" s="23">
        <v>2.5870185947085789E-2</v>
      </c>
      <c r="BB21" s="23">
        <v>2.6893536703573639E-2</v>
      </c>
      <c r="BC21" s="23">
        <v>2.3026535336124088E-2</v>
      </c>
      <c r="BD21" s="23">
        <v>1.6693942729572031E-2</v>
      </c>
      <c r="BE21" s="23">
        <v>2.2786008601595631E-2</v>
      </c>
      <c r="BF21" s="23">
        <v>0</v>
      </c>
      <c r="BH21" s="14">
        <f t="shared" si="11"/>
        <v>485008.86116750311</v>
      </c>
      <c r="BI21" s="14">
        <f t="shared" si="12"/>
        <v>529245.44964292657</v>
      </c>
      <c r="BJ21" s="14">
        <f t="shared" si="13"/>
        <v>540267.02038272482</v>
      </c>
      <c r="BK21" s="14">
        <f t="shared" si="14"/>
        <v>590626.13804039371</v>
      </c>
      <c r="BL21" s="14">
        <f t="shared" si="15"/>
        <v>621626.68966663035</v>
      </c>
      <c r="BM21" s="14">
        <f t="shared" si="16"/>
        <v>651122.71350141882</v>
      </c>
      <c r="BN21" s="14">
        <f t="shared" si="17"/>
        <v>675981.71873581654</v>
      </c>
      <c r="BO21" s="14">
        <f t="shared" si="18"/>
        <v>675189.70709018398</v>
      </c>
      <c r="BP21" s="14">
        <f t="shared" si="19"/>
        <v>651778.80206985003</v>
      </c>
      <c r="BQ21" s="14">
        <f t="shared" si="20"/>
        <v>682372.26838913583</v>
      </c>
      <c r="BR21" s="14">
        <f t="shared" si="21"/>
        <v>678873.36229252792</v>
      </c>
      <c r="BS21" s="14">
        <f t="shared" si="22"/>
        <v>650303.41336739855</v>
      </c>
      <c r="BT21" s="14">
        <f t="shared" si="23"/>
        <v>689537.96250344929</v>
      </c>
      <c r="BU21" s="14">
        <f t="shared" si="24"/>
        <v>628105.06656645378</v>
      </c>
      <c r="BV21" s="14">
        <f t="shared" si="25"/>
        <v>574865.6660210297</v>
      </c>
      <c r="BW21" s="14">
        <f t="shared" si="26"/>
        <v>589591.03965965973</v>
      </c>
      <c r="BX21" s="14">
        <f t="shared" si="27"/>
        <v>610557.32550088805</v>
      </c>
      <c r="BY21" s="14">
        <f t="shared" si="28"/>
        <v>608599.03193615761</v>
      </c>
      <c r="BZ21" s="14">
        <f t="shared" si="29"/>
        <v>611896.84754676092</v>
      </c>
      <c r="CA21" s="14">
        <f t="shared" si="30"/>
        <v>635645.09188847197</v>
      </c>
      <c r="CB21" s="14">
        <f t="shared" si="31"/>
        <v>647996.42450437497</v>
      </c>
      <c r="CD21" s="13" t="s">
        <v>163</v>
      </c>
      <c r="CE21" s="13" t="s">
        <v>164</v>
      </c>
      <c r="CF21" s="13">
        <v>20</v>
      </c>
      <c r="CG21" s="13">
        <v>149900.163737978</v>
      </c>
      <c r="CH21" s="13">
        <v>64.236995488578899</v>
      </c>
      <c r="CI21" s="13">
        <v>2333.5488</v>
      </c>
      <c r="CK21" s="13" t="s">
        <v>165</v>
      </c>
      <c r="CL21" s="13" t="s">
        <v>164</v>
      </c>
      <c r="CM21" s="14">
        <v>313191.55218938499</v>
      </c>
      <c r="CN21" s="13">
        <v>20</v>
      </c>
      <c r="CO21" s="14">
        <v>134.21256166209801</v>
      </c>
      <c r="CP21" s="14">
        <v>2333.54872532644</v>
      </c>
      <c r="CT21" s="14"/>
      <c r="DU21" s="13">
        <f t="shared" si="42"/>
        <v>679687.50000000116</v>
      </c>
      <c r="DZ21" s="13">
        <f t="shared" si="4"/>
        <v>679687.50000000116</v>
      </c>
      <c r="EA21" s="13">
        <f t="shared" si="32"/>
        <v>519658.47656250087</v>
      </c>
      <c r="EB21" s="13">
        <f t="shared" si="33"/>
        <v>6.4414024077034766E-3</v>
      </c>
      <c r="EC21" s="13">
        <f t="shared" si="5"/>
        <v>222.69021894531295</v>
      </c>
    </row>
    <row r="22" spans="1:170" s="8" customFormat="1" x14ac:dyDescent="0.3">
      <c r="A22" s="8">
        <v>21</v>
      </c>
      <c r="B22" s="8" t="s">
        <v>166</v>
      </c>
      <c r="C22" s="8" t="s">
        <v>167</v>
      </c>
      <c r="D22" s="8" t="s">
        <v>148</v>
      </c>
      <c r="F22" s="8">
        <f t="shared" si="41"/>
        <v>10</v>
      </c>
      <c r="G22" s="8">
        <f t="shared" si="0"/>
        <v>70.852051476648001</v>
      </c>
      <c r="H22" s="8">
        <f>(2*EA22)/$F22/$CI22</f>
        <v>44.538042363845229</v>
      </c>
      <c r="I22" s="8">
        <f t="shared" si="7"/>
        <v>1.5908209637467983</v>
      </c>
      <c r="J22" s="8">
        <f t="shared" si="1"/>
        <v>1</v>
      </c>
      <c r="K22" s="8">
        <f t="shared" si="8"/>
        <v>20</v>
      </c>
      <c r="M22" s="10" t="str">
        <f t="shared" si="9"/>
        <v>NaN</v>
      </c>
      <c r="N22" s="10" t="str">
        <f t="shared" si="10"/>
        <v>NaN</v>
      </c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22">
        <v>3.2888721496165063E-2</v>
      </c>
      <c r="AM22" s="22">
        <v>2.8843039908195367E-2</v>
      </c>
      <c r="AN22" s="22">
        <v>2.3508826348185297E-2</v>
      </c>
      <c r="AO22" s="22">
        <v>1.727558717854083E-2</v>
      </c>
      <c r="AP22" s="22">
        <v>9.7904355801925469E-3</v>
      </c>
      <c r="AQ22" s="22">
        <v>1.8178580442596015E-3</v>
      </c>
      <c r="AR22" s="22">
        <v>-3.3449229627590116E-3</v>
      </c>
      <c r="AS22" s="22">
        <v>-1.1079319634054174E-3</v>
      </c>
      <c r="AT22" s="22">
        <v>4.8934098997499564E-3</v>
      </c>
      <c r="AU22" s="22">
        <v>1.5235248091937992E-2</v>
      </c>
      <c r="AV22" s="22">
        <v>1.6126764918219072E-2</v>
      </c>
      <c r="AW22" s="22">
        <v>2.1540722483505803E-2</v>
      </c>
      <c r="AX22" s="22">
        <v>2.7613026747848268E-2</v>
      </c>
      <c r="AY22" s="22">
        <v>2.6978579088403398E-2</v>
      </c>
      <c r="AZ22" s="22">
        <v>2.5079662791946955E-2</v>
      </c>
      <c r="BA22" s="22">
        <v>2.5870185947085789E-2</v>
      </c>
      <c r="BB22" s="22">
        <v>2.6893536703573639E-2</v>
      </c>
      <c r="BC22" s="22">
        <v>2.3026535336124088E-2</v>
      </c>
      <c r="BD22" s="22">
        <v>1.6693942729572031E-2</v>
      </c>
      <c r="BE22" s="22">
        <v>2.2786008601595631E-2</v>
      </c>
      <c r="BF22" s="22">
        <v>0</v>
      </c>
      <c r="BG22" s="11"/>
      <c r="BH22" s="10" t="str">
        <f t="shared" si="11"/>
        <v>NaN</v>
      </c>
      <c r="BI22" s="10" t="str">
        <f t="shared" si="12"/>
        <v>NaN</v>
      </c>
      <c r="BJ22" s="10" t="str">
        <f t="shared" si="13"/>
        <v>NaN</v>
      </c>
      <c r="BK22" s="10" t="str">
        <f t="shared" si="14"/>
        <v>NaN</v>
      </c>
      <c r="BL22" s="10" t="str">
        <f t="shared" si="15"/>
        <v>NaN</v>
      </c>
      <c r="BM22" s="10" t="str">
        <f t="shared" si="16"/>
        <v>NaN</v>
      </c>
      <c r="BN22" s="10" t="str">
        <f t="shared" si="17"/>
        <v>NaN</v>
      </c>
      <c r="BO22" s="10" t="str">
        <f t="shared" si="18"/>
        <v>NaN</v>
      </c>
      <c r="BP22" s="10" t="str">
        <f t="shared" si="19"/>
        <v>NaN</v>
      </c>
      <c r="BQ22" s="10" t="str">
        <f t="shared" si="20"/>
        <v>NaN</v>
      </c>
      <c r="BR22" s="10" t="str">
        <f t="shared" si="21"/>
        <v>NaN</v>
      </c>
      <c r="BS22" s="10" t="str">
        <f t="shared" si="22"/>
        <v>NaN</v>
      </c>
      <c r="BT22" s="10" t="str">
        <f t="shared" si="23"/>
        <v>NaN</v>
      </c>
      <c r="BU22" s="10" t="str">
        <f t="shared" si="24"/>
        <v>NaN</v>
      </c>
      <c r="BV22" s="10" t="str">
        <f t="shared" si="25"/>
        <v>NaN</v>
      </c>
      <c r="BW22" s="10" t="str">
        <f t="shared" si="26"/>
        <v>NaN</v>
      </c>
      <c r="BX22" s="10" t="str">
        <f t="shared" si="27"/>
        <v>NaN</v>
      </c>
      <c r="BY22" s="10" t="str">
        <f t="shared" si="28"/>
        <v>NaN</v>
      </c>
      <c r="BZ22" s="10" t="str">
        <f t="shared" si="29"/>
        <v>NaN</v>
      </c>
      <c r="CA22" s="10" t="str">
        <f t="shared" si="30"/>
        <v>NaN</v>
      </c>
      <c r="CB22" s="10" t="str">
        <f t="shared" si="31"/>
        <v>NaN</v>
      </c>
      <c r="CC22" s="12"/>
      <c r="CD22" s="13" t="s">
        <v>168</v>
      </c>
      <c r="CE22" s="13" t="s">
        <v>167</v>
      </c>
      <c r="CF22" s="13">
        <v>21</v>
      </c>
      <c r="CG22" s="13">
        <v>67562.174013688695</v>
      </c>
      <c r="CH22" s="13">
        <v>54.502256183409997</v>
      </c>
      <c r="CI22" s="13">
        <v>1239.6215999999999</v>
      </c>
      <c r="CJ22" s="11"/>
      <c r="CK22" s="13" t="s">
        <v>166</v>
      </c>
      <c r="CL22" s="13" t="s">
        <v>167</v>
      </c>
      <c r="CM22" s="14">
        <v>155391.90245591299</v>
      </c>
      <c r="CN22" s="13">
        <v>21</v>
      </c>
      <c r="CO22" s="14">
        <v>125.354307660058</v>
      </c>
      <c r="CP22" s="14">
        <v>1239.62156033211</v>
      </c>
      <c r="CQ22" s="11"/>
      <c r="CT22" s="10"/>
      <c r="DU22" s="13">
        <f t="shared" si="42"/>
        <v>361061.78977272799</v>
      </c>
      <c r="DZ22" s="8">
        <f t="shared" si="4"/>
        <v>361061.78977272799</v>
      </c>
      <c r="EA22" s="8">
        <f t="shared" si="32"/>
        <v>276051.59667968802</v>
      </c>
      <c r="EB22" s="8">
        <f t="shared" si="33"/>
        <v>3.4217846907170909E-3</v>
      </c>
      <c r="EC22" s="8">
        <f t="shared" si="5"/>
        <v>222.69021894531295</v>
      </c>
      <c r="ED22" s="12"/>
      <c r="FN22" s="12"/>
    </row>
    <row r="23" spans="1:170" x14ac:dyDescent="0.3">
      <c r="A23" s="13">
        <v>22</v>
      </c>
      <c r="B23" s="13" t="s">
        <v>169</v>
      </c>
      <c r="C23" s="13" t="s">
        <v>170</v>
      </c>
      <c r="D23" s="13" t="s">
        <v>148</v>
      </c>
      <c r="F23" s="13">
        <f t="shared" si="41"/>
        <v>10</v>
      </c>
      <c r="G23" s="13">
        <f t="shared" si="0"/>
        <v>49.3956251497724</v>
      </c>
      <c r="H23" s="13">
        <f>(2*EA23)/$F23/$CI23</f>
        <v>44.538042363844951</v>
      </c>
      <c r="I23" s="13">
        <f t="shared" si="7"/>
        <v>1.109065924951177</v>
      </c>
      <c r="J23" s="13">
        <f t="shared" si="1"/>
        <v>1</v>
      </c>
      <c r="K23" s="13">
        <f t="shared" si="8"/>
        <v>20</v>
      </c>
      <c r="M23" s="14">
        <f t="shared" si="9"/>
        <v>344883.90977298951</v>
      </c>
      <c r="N23" s="14">
        <f t="shared" si="10"/>
        <v>328757.0883323325</v>
      </c>
      <c r="P23" s="14">
        <v>117060.27966984799</v>
      </c>
      <c r="Q23" s="14">
        <v>127556.09166582199</v>
      </c>
      <c r="R23" s="14">
        <v>150217.801144228</v>
      </c>
      <c r="S23" s="14">
        <v>199543.73814241501</v>
      </c>
      <c r="T23" s="14">
        <v>248239.90466310299</v>
      </c>
      <c r="U23" s="14">
        <v>306490.92849211697</v>
      </c>
      <c r="V23" s="14">
        <v>344709.70132409001</v>
      </c>
      <c r="W23" s="14">
        <v>332025.57639391703</v>
      </c>
      <c r="X23" s="14">
        <v>350851.911131264</v>
      </c>
      <c r="Y23" s="14">
        <v>319643.37967072701</v>
      </c>
      <c r="Z23" s="14">
        <v>305122.65483447601</v>
      </c>
      <c r="AA23" s="14">
        <v>286839.49326310097</v>
      </c>
      <c r="AB23" s="14">
        <v>316717.467469536</v>
      </c>
      <c r="AC23" s="14">
        <v>306489.60829156701</v>
      </c>
      <c r="AD23" s="14">
        <v>298925.13280832698</v>
      </c>
      <c r="AE23" s="14">
        <v>293255.04667348298</v>
      </c>
      <c r="AF23" s="14">
        <v>310149.61873822298</v>
      </c>
      <c r="AG23" s="14">
        <v>317209.53059168102</v>
      </c>
      <c r="AH23" s="14">
        <v>344685.35635932698</v>
      </c>
      <c r="AI23" s="14">
        <v>360750.57047215803</v>
      </c>
      <c r="AJ23" s="14">
        <v>396921.128311023</v>
      </c>
      <c r="AL23" s="23">
        <v>3.2888721496165063E-2</v>
      </c>
      <c r="AM23" s="23">
        <v>2.8843039908195367E-2</v>
      </c>
      <c r="AN23" s="23">
        <v>2.3508826348185297E-2</v>
      </c>
      <c r="AO23" s="23">
        <v>1.727558717854083E-2</v>
      </c>
      <c r="AP23" s="23">
        <v>9.7904355801925469E-3</v>
      </c>
      <c r="AQ23" s="23">
        <v>1.8178580442596015E-3</v>
      </c>
      <c r="AR23" s="23">
        <v>-3.3449229627590116E-3</v>
      </c>
      <c r="AS23" s="23">
        <v>-1.1079319634054174E-3</v>
      </c>
      <c r="AT23" s="23">
        <v>4.8934098997499564E-3</v>
      </c>
      <c r="AU23" s="23">
        <v>1.5235248091937992E-2</v>
      </c>
      <c r="AV23" s="23">
        <v>1.6126764918219072E-2</v>
      </c>
      <c r="AW23" s="23">
        <v>2.1540722483505803E-2</v>
      </c>
      <c r="AX23" s="23">
        <v>2.7613026747848268E-2</v>
      </c>
      <c r="AY23" s="23">
        <v>2.6978579088403398E-2</v>
      </c>
      <c r="AZ23" s="23">
        <v>2.5079662791946955E-2</v>
      </c>
      <c r="BA23" s="23">
        <v>2.5870185947085789E-2</v>
      </c>
      <c r="BB23" s="23">
        <v>2.6893536703573639E-2</v>
      </c>
      <c r="BC23" s="23">
        <v>2.3026535336124088E-2</v>
      </c>
      <c r="BD23" s="23">
        <v>1.6693942729572031E-2</v>
      </c>
      <c r="BE23" s="23">
        <v>2.2786008601595631E-2</v>
      </c>
      <c r="BF23" s="23">
        <v>0</v>
      </c>
      <c r="BH23" s="14">
        <f t="shared" si="11"/>
        <v>223604.35709145074</v>
      </c>
      <c r="BI23" s="14">
        <f t="shared" si="12"/>
        <v>218944.76151987299</v>
      </c>
      <c r="BJ23" s="14">
        <f t="shared" si="13"/>
        <v>228228.59686617093</v>
      </c>
      <c r="BK23" s="14">
        <f t="shared" si="14"/>
        <v>266989.80812648026</v>
      </c>
      <c r="BL23" s="14">
        <f t="shared" si="15"/>
        <v>290115.97385524743</v>
      </c>
      <c r="BM23" s="14">
        <f t="shared" si="16"/>
        <v>314955.47321133752</v>
      </c>
      <c r="BN23" s="14">
        <f t="shared" si="17"/>
        <v>328913.63254651264</v>
      </c>
      <c r="BO23" s="14">
        <f t="shared" si="18"/>
        <v>327275.03500390798</v>
      </c>
      <c r="BP23" s="14">
        <f t="shared" si="19"/>
        <v>372017.88900885434</v>
      </c>
      <c r="BQ23" s="14">
        <f t="shared" si="20"/>
        <v>377484.63450202288</v>
      </c>
      <c r="BR23" s="14">
        <f t="shared" si="21"/>
        <v>358057.98505145311</v>
      </c>
      <c r="BS23" s="14">
        <f t="shared" si="22"/>
        <v>347488.23250048212</v>
      </c>
      <c r="BT23" s="14">
        <f t="shared" si="23"/>
        <v>393830.02633098973</v>
      </c>
      <c r="BU23" s="14">
        <f t="shared" si="24"/>
        <v>369271.21025315858</v>
      </c>
      <c r="BV23" s="14">
        <f t="shared" si="25"/>
        <v>346823.19524164032</v>
      </c>
      <c r="BW23" s="14">
        <f t="shared" si="26"/>
        <v>333201.95195088536</v>
      </c>
      <c r="BX23" s="14">
        <f t="shared" si="27"/>
        <v>344883.90977298951</v>
      </c>
      <c r="BY23" s="14">
        <f t="shared" si="28"/>
        <v>339630.68662622792</v>
      </c>
      <c r="BZ23" s="14">
        <f t="shared" si="29"/>
        <v>356289.73113430751</v>
      </c>
      <c r="CA23" s="14">
        <f t="shared" si="30"/>
        <v>368970.63607396715</v>
      </c>
      <c r="CB23" s="14">
        <f t="shared" si="31"/>
        <v>396921.128311023</v>
      </c>
      <c r="CD23" s="13" t="s">
        <v>169</v>
      </c>
      <c r="CE23" s="13" t="s">
        <v>170</v>
      </c>
      <c r="CF23" s="13">
        <v>22</v>
      </c>
      <c r="CG23" s="13">
        <v>98599.127295743601</v>
      </c>
      <c r="CH23" s="13">
        <v>77.260078921746597</v>
      </c>
      <c r="CI23" s="13">
        <v>1276.1976</v>
      </c>
      <c r="CK23" s="13" t="s">
        <v>169</v>
      </c>
      <c r="CL23" s="13" t="s">
        <v>170</v>
      </c>
      <c r="CM23" s="14">
        <v>161637.70038997699</v>
      </c>
      <c r="CN23" s="13">
        <v>22</v>
      </c>
      <c r="CO23" s="14">
        <v>126.655704071519</v>
      </c>
      <c r="CP23" s="14">
        <v>1276.1975591616699</v>
      </c>
      <c r="CT23" s="14"/>
      <c r="DU23" s="13">
        <f t="shared" si="42"/>
        <v>371715.19886363478</v>
      </c>
      <c r="DZ23" s="13">
        <f t="shared" si="4"/>
        <v>371715.19886363478</v>
      </c>
      <c r="EA23" s="13">
        <f t="shared" si="32"/>
        <v>284196.71386718628</v>
      </c>
      <c r="EB23" s="13">
        <f t="shared" si="33"/>
        <v>3.5227471109005089E-3</v>
      </c>
      <c r="EC23" s="13">
        <f t="shared" si="5"/>
        <v>222.69021894531298</v>
      </c>
    </row>
    <row r="24" spans="1:170" s="8" customFormat="1" x14ac:dyDescent="0.3">
      <c r="A24" s="8">
        <v>23</v>
      </c>
      <c r="B24" s="8" t="s">
        <v>171</v>
      </c>
      <c r="C24" s="8" t="s">
        <v>172</v>
      </c>
      <c r="D24" s="8" t="s">
        <v>148</v>
      </c>
      <c r="F24" s="8">
        <f t="shared" si="41"/>
        <v>10</v>
      </c>
      <c r="G24" s="8">
        <f t="shared" si="0"/>
        <v>55.027375256138697</v>
      </c>
      <c r="H24" s="8">
        <f>(2*EA24)/$F24/$CI24</f>
        <v>44.538042363845129</v>
      </c>
      <c r="I24" s="8">
        <f t="shared" si="7"/>
        <v>1.2355140085997256</v>
      </c>
      <c r="J24" s="8">
        <f t="shared" si="1"/>
        <v>1</v>
      </c>
      <c r="K24" s="8">
        <f t="shared" si="8"/>
        <v>20</v>
      </c>
      <c r="M24" s="14">
        <f t="shared" si="9"/>
        <v>484930.22360012174</v>
      </c>
      <c r="N24" s="14">
        <f t="shared" si="10"/>
        <v>465789.04971393675</v>
      </c>
      <c r="O24" s="11"/>
      <c r="P24" s="10">
        <v>164599.63119803899</v>
      </c>
      <c r="Q24" s="10">
        <v>200533.09988404499</v>
      </c>
      <c r="R24" s="10">
        <v>235363.60596029501</v>
      </c>
      <c r="S24" s="10">
        <v>309075.49703854398</v>
      </c>
      <c r="T24" s="10">
        <v>390885.63794802403</v>
      </c>
      <c r="U24" s="10">
        <v>456646.68604751001</v>
      </c>
      <c r="V24" s="10">
        <v>526255.60006244597</v>
      </c>
      <c r="W24" s="10">
        <v>519736.88607206702</v>
      </c>
      <c r="X24" s="10">
        <v>460849.31450939103</v>
      </c>
      <c r="Y24" s="10">
        <v>445463.60631226603</v>
      </c>
      <c r="Z24" s="10">
        <v>432459.58633399202</v>
      </c>
      <c r="AA24" s="10">
        <v>395832.72796809202</v>
      </c>
      <c r="AB24" s="10">
        <v>413520.53964920703</v>
      </c>
      <c r="AC24" s="10">
        <v>419259.61124136997</v>
      </c>
      <c r="AD24" s="10">
        <v>407935.04598016199</v>
      </c>
      <c r="AE24" s="10">
        <v>419301.50303005602</v>
      </c>
      <c r="AF24" s="10">
        <v>443592.27387149201</v>
      </c>
      <c r="AG24" s="10">
        <v>452916.931994432</v>
      </c>
      <c r="AH24" s="10">
        <v>464027.68315035797</v>
      </c>
      <c r="AI24" s="10">
        <v>479159.80032469798</v>
      </c>
      <c r="AJ24" s="10">
        <v>492563.25404576497</v>
      </c>
      <c r="AK24" s="11"/>
      <c r="AL24" s="22">
        <v>3.2888721496165063E-2</v>
      </c>
      <c r="AM24" s="22">
        <v>2.8843039908195367E-2</v>
      </c>
      <c r="AN24" s="22">
        <v>2.3508826348185297E-2</v>
      </c>
      <c r="AO24" s="22">
        <v>1.727558717854083E-2</v>
      </c>
      <c r="AP24" s="22">
        <v>9.7904355801925469E-3</v>
      </c>
      <c r="AQ24" s="22">
        <v>1.8178580442596015E-3</v>
      </c>
      <c r="AR24" s="22">
        <v>-3.3449229627590116E-3</v>
      </c>
      <c r="AS24" s="22">
        <v>-1.1079319634054174E-3</v>
      </c>
      <c r="AT24" s="22">
        <v>4.8934098997499564E-3</v>
      </c>
      <c r="AU24" s="22">
        <v>1.5235248091937992E-2</v>
      </c>
      <c r="AV24" s="22">
        <v>1.6126764918219072E-2</v>
      </c>
      <c r="AW24" s="22">
        <v>2.1540722483505803E-2</v>
      </c>
      <c r="AX24" s="22">
        <v>2.7613026747848268E-2</v>
      </c>
      <c r="AY24" s="22">
        <v>2.6978579088403398E-2</v>
      </c>
      <c r="AZ24" s="22">
        <v>2.5079662791946955E-2</v>
      </c>
      <c r="BA24" s="22">
        <v>2.5870185947085789E-2</v>
      </c>
      <c r="BB24" s="22">
        <v>2.6893536703573639E-2</v>
      </c>
      <c r="BC24" s="22">
        <v>2.3026535336124088E-2</v>
      </c>
      <c r="BD24" s="22">
        <v>1.6693942729572031E-2</v>
      </c>
      <c r="BE24" s="22">
        <v>2.2786008601595631E-2</v>
      </c>
      <c r="BF24" s="22">
        <v>0</v>
      </c>
      <c r="BG24" s="11"/>
      <c r="BH24" s="10">
        <f t="shared" si="11"/>
        <v>314412.32513138757</v>
      </c>
      <c r="BI24" s="10">
        <f t="shared" si="12"/>
        <v>344206.78117027477</v>
      </c>
      <c r="BJ24" s="10">
        <f t="shared" si="13"/>
        <v>357592.14375735453</v>
      </c>
      <c r="BK24" s="10">
        <f t="shared" si="14"/>
        <v>413543.45878808072</v>
      </c>
      <c r="BL24" s="10">
        <f t="shared" si="15"/>
        <v>456824.89152267278</v>
      </c>
      <c r="BM24" s="10">
        <f t="shared" si="16"/>
        <v>469258.17283424677</v>
      </c>
      <c r="BN24" s="10">
        <f t="shared" si="17"/>
        <v>502140.32387137605</v>
      </c>
      <c r="BO24" s="10">
        <f t="shared" si="18"/>
        <v>512300.61680626054</v>
      </c>
      <c r="BP24" s="10">
        <f t="shared" si="19"/>
        <v>488651.14795062051</v>
      </c>
      <c r="BQ24" s="10">
        <f t="shared" si="20"/>
        <v>526072.73388849874</v>
      </c>
      <c r="BR24" s="10">
        <f t="shared" si="21"/>
        <v>507486.43421097426</v>
      </c>
      <c r="BS24" s="10">
        <f t="shared" si="22"/>
        <v>479526.76754073222</v>
      </c>
      <c r="BT24" s="10">
        <f t="shared" si="23"/>
        <v>514202.15727166022</v>
      </c>
      <c r="BU24" s="10">
        <f t="shared" si="24"/>
        <v>505141.12017164042</v>
      </c>
      <c r="BV24" s="10">
        <f t="shared" si="25"/>
        <v>473300.23664689355</v>
      </c>
      <c r="BW24" s="10">
        <f t="shared" si="26"/>
        <v>476418.32885867922</v>
      </c>
      <c r="BX24" s="10">
        <f t="shared" si="27"/>
        <v>493271.08116491977</v>
      </c>
      <c r="BY24" s="10">
        <f t="shared" si="28"/>
        <v>484930.22360012174</v>
      </c>
      <c r="BZ24" s="10">
        <f t="shared" si="29"/>
        <v>479649.90510407853</v>
      </c>
      <c r="CA24" s="10">
        <f t="shared" si="30"/>
        <v>490077.9396564354</v>
      </c>
      <c r="CB24" s="10">
        <f t="shared" si="31"/>
        <v>492563.25404576497</v>
      </c>
      <c r="CC24" s="12"/>
      <c r="CD24" s="13" t="s">
        <v>171</v>
      </c>
      <c r="CE24" s="13" t="s">
        <v>172</v>
      </c>
      <c r="CF24" s="13">
        <v>23</v>
      </c>
      <c r="CG24" s="13">
        <v>193066.15266984201</v>
      </c>
      <c r="CH24" s="13">
        <v>71.003153912780306</v>
      </c>
      <c r="CI24" s="13">
        <v>2719.1208000000001</v>
      </c>
      <c r="CJ24" s="11"/>
      <c r="CK24" s="13" t="s">
        <v>171</v>
      </c>
      <c r="CL24" s="13" t="s">
        <v>172</v>
      </c>
      <c r="CM24" s="14">
        <v>342692.222332064</v>
      </c>
      <c r="CN24" s="13">
        <v>23</v>
      </c>
      <c r="CO24" s="14">
        <v>126.030529168919</v>
      </c>
      <c r="CP24" s="14">
        <v>2719.12071298813</v>
      </c>
      <c r="CQ24" s="11"/>
      <c r="CT24" s="10"/>
      <c r="DU24" s="13">
        <f t="shared" si="42"/>
        <v>791992.18749999965</v>
      </c>
      <c r="DZ24" s="8">
        <f t="shared" si="4"/>
        <v>791992.18749999965</v>
      </c>
      <c r="EA24" s="8">
        <f t="shared" si="32"/>
        <v>605521.58691406227</v>
      </c>
      <c r="EB24" s="8">
        <f t="shared" si="33"/>
        <v>7.5057145871372244E-3</v>
      </c>
      <c r="EC24" s="8">
        <f t="shared" si="5"/>
        <v>222.69021894531301</v>
      </c>
      <c r="ED24" s="12"/>
      <c r="FN24" s="12"/>
    </row>
    <row r="25" spans="1:170" x14ac:dyDescent="0.3">
      <c r="A25" s="13">
        <v>24</v>
      </c>
      <c r="B25" s="13" t="s">
        <v>173</v>
      </c>
      <c r="C25" s="13" t="s">
        <v>174</v>
      </c>
      <c r="D25" s="13" t="s">
        <v>148</v>
      </c>
      <c r="F25" s="13">
        <f t="shared" si="41"/>
        <v>10</v>
      </c>
      <c r="G25" s="13">
        <f t="shared" si="0"/>
        <v>-2.4286932796040048</v>
      </c>
      <c r="H25" s="13">
        <f>(2*EA25)/$F25/$CI25</f>
        <v>44.538042363845129</v>
      </c>
      <c r="I25" s="13">
        <f t="shared" si="7"/>
        <v>-5.4530759564222729E-2</v>
      </c>
      <c r="J25" s="13">
        <f t="shared" si="1"/>
        <v>1</v>
      </c>
      <c r="K25" s="13">
        <f t="shared" si="8"/>
        <v>20</v>
      </c>
      <c r="M25" s="14" t="str">
        <f t="shared" si="9"/>
        <v>NaN</v>
      </c>
      <c r="N25" s="14" t="str">
        <f t="shared" si="10"/>
        <v>NaN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L25" s="23">
        <v>3.2888721496165063E-2</v>
      </c>
      <c r="AM25" s="23">
        <v>2.8843039908195367E-2</v>
      </c>
      <c r="AN25" s="23">
        <v>2.3508826348185297E-2</v>
      </c>
      <c r="AO25" s="23">
        <v>1.727558717854083E-2</v>
      </c>
      <c r="AP25" s="23">
        <v>9.7904355801925469E-3</v>
      </c>
      <c r="AQ25" s="23">
        <v>1.8178580442596015E-3</v>
      </c>
      <c r="AR25" s="23">
        <v>-3.3449229627590116E-3</v>
      </c>
      <c r="AS25" s="23">
        <v>-1.1079319634054174E-3</v>
      </c>
      <c r="AT25" s="23">
        <v>4.8934098997499564E-3</v>
      </c>
      <c r="AU25" s="23">
        <v>1.5235248091937992E-2</v>
      </c>
      <c r="AV25" s="23">
        <v>1.6126764918219072E-2</v>
      </c>
      <c r="AW25" s="23">
        <v>2.1540722483505803E-2</v>
      </c>
      <c r="AX25" s="23">
        <v>2.7613026747848268E-2</v>
      </c>
      <c r="AY25" s="23">
        <v>2.6978579088403398E-2</v>
      </c>
      <c r="AZ25" s="23">
        <v>2.5079662791946955E-2</v>
      </c>
      <c r="BA25" s="23">
        <v>2.5870185947085789E-2</v>
      </c>
      <c r="BB25" s="23">
        <v>2.6893536703573639E-2</v>
      </c>
      <c r="BC25" s="23">
        <v>2.3026535336124088E-2</v>
      </c>
      <c r="BD25" s="23">
        <v>1.6693942729572031E-2</v>
      </c>
      <c r="BE25" s="23">
        <v>2.2786008601595631E-2</v>
      </c>
      <c r="BF25" s="23">
        <v>0</v>
      </c>
      <c r="BH25" s="14" t="str">
        <f t="shared" si="11"/>
        <v>NaN</v>
      </c>
      <c r="BI25" s="14" t="str">
        <f t="shared" si="12"/>
        <v>NaN</v>
      </c>
      <c r="BJ25" s="14" t="str">
        <f t="shared" si="13"/>
        <v>NaN</v>
      </c>
      <c r="BK25" s="14" t="str">
        <f t="shared" si="14"/>
        <v>NaN</v>
      </c>
      <c r="BL25" s="14" t="str">
        <f t="shared" si="15"/>
        <v>NaN</v>
      </c>
      <c r="BM25" s="14" t="str">
        <f t="shared" si="16"/>
        <v>NaN</v>
      </c>
      <c r="BN25" s="14" t="str">
        <f t="shared" si="17"/>
        <v>NaN</v>
      </c>
      <c r="BO25" s="14" t="str">
        <f t="shared" si="18"/>
        <v>NaN</v>
      </c>
      <c r="BP25" s="14" t="str">
        <f t="shared" si="19"/>
        <v>NaN</v>
      </c>
      <c r="BQ25" s="14" t="str">
        <f t="shared" si="20"/>
        <v>NaN</v>
      </c>
      <c r="BR25" s="14" t="str">
        <f t="shared" si="21"/>
        <v>NaN</v>
      </c>
      <c r="BS25" s="14" t="str">
        <f t="shared" si="22"/>
        <v>NaN</v>
      </c>
      <c r="BT25" s="14" t="str">
        <f t="shared" si="23"/>
        <v>NaN</v>
      </c>
      <c r="BU25" s="14" t="str">
        <f t="shared" si="24"/>
        <v>NaN</v>
      </c>
      <c r="BV25" s="14" t="str">
        <f t="shared" si="25"/>
        <v>NaN</v>
      </c>
      <c r="BW25" s="14" t="str">
        <f t="shared" si="26"/>
        <v>NaN</v>
      </c>
      <c r="BX25" s="14" t="str">
        <f t="shared" si="27"/>
        <v>NaN</v>
      </c>
      <c r="BY25" s="14" t="str">
        <f t="shared" si="28"/>
        <v>NaN</v>
      </c>
      <c r="BZ25" s="14" t="str">
        <f t="shared" si="29"/>
        <v>NaN</v>
      </c>
      <c r="CA25" s="14" t="str">
        <f t="shared" si="30"/>
        <v>NaN</v>
      </c>
      <c r="CB25" s="14" t="str">
        <f t="shared" si="31"/>
        <v>NaN</v>
      </c>
      <c r="CD25" s="13" t="s">
        <v>175</v>
      </c>
      <c r="CE25" s="13" t="s">
        <v>174</v>
      </c>
      <c r="CF25" s="13">
        <v>24</v>
      </c>
      <c r="CG25" s="13">
        <v>2561093.8654546398</v>
      </c>
      <c r="CH25" s="13">
        <v>154.98264218417</v>
      </c>
      <c r="CI25" s="13">
        <v>16525.036800000002</v>
      </c>
      <c r="CK25" s="13" t="s">
        <v>175</v>
      </c>
      <c r="CL25" s="13" t="s">
        <v>174</v>
      </c>
      <c r="CM25" s="14">
        <v>2520959.5389625798</v>
      </c>
      <c r="CN25" s="13">
        <v>24</v>
      </c>
      <c r="CO25" s="14">
        <v>152.553948904566</v>
      </c>
      <c r="CP25" s="14">
        <v>16525.036271198798</v>
      </c>
      <c r="CT25" s="14"/>
      <c r="DU25" s="13">
        <f t="shared" si="42"/>
        <v>4813210.2272727257</v>
      </c>
      <c r="DZ25" s="13">
        <f t="shared" si="4"/>
        <v>4813210.2272727257</v>
      </c>
      <c r="EA25" s="13">
        <f t="shared" si="32"/>
        <v>3679963.9453124986</v>
      </c>
      <c r="EB25" s="13">
        <f t="shared" si="33"/>
        <v>4.5614821438878135E-2</v>
      </c>
      <c r="EC25" s="13">
        <f t="shared" si="5"/>
        <v>222.69021894531298</v>
      </c>
    </row>
    <row r="26" spans="1:170" s="8" customFormat="1" x14ac:dyDescent="0.3">
      <c r="A26" s="8">
        <v>25</v>
      </c>
      <c r="B26" s="8" t="s">
        <v>176</v>
      </c>
      <c r="C26" s="8" t="s">
        <v>177</v>
      </c>
      <c r="D26" s="8" t="s">
        <v>148</v>
      </c>
      <c r="F26" s="8">
        <f t="shared" si="41"/>
        <v>10</v>
      </c>
      <c r="G26" s="8">
        <f t="shared" si="0"/>
        <v>14.163454044726052</v>
      </c>
      <c r="H26" s="8">
        <f>(2*EA26)/$F26/$CI26</f>
        <v>10.307503630218235</v>
      </c>
      <c r="I26" s="8">
        <f t="shared" si="7"/>
        <v>1.3740915892771</v>
      </c>
      <c r="J26" s="8">
        <f t="shared" si="1"/>
        <v>1</v>
      </c>
      <c r="K26" s="8">
        <f t="shared" si="8"/>
        <v>20</v>
      </c>
      <c r="M26" s="10">
        <f t="shared" si="9"/>
        <v>843293.64327795058</v>
      </c>
      <c r="N26" s="10">
        <f t="shared" si="10"/>
        <v>839491.37903610885</v>
      </c>
      <c r="O26" s="11"/>
      <c r="P26" s="10">
        <v>378851.96609531698</v>
      </c>
      <c r="Q26" s="10">
        <v>459260.86046438903</v>
      </c>
      <c r="R26" s="10">
        <v>520276.10499148699</v>
      </c>
      <c r="S26" s="10">
        <v>631174.61852535803</v>
      </c>
      <c r="T26" s="10">
        <v>743816.46643880196</v>
      </c>
      <c r="U26" s="10">
        <v>855789.18698771996</v>
      </c>
      <c r="V26" s="10">
        <v>933682.80389787105</v>
      </c>
      <c r="W26" s="10">
        <v>907109.02609540801</v>
      </c>
      <c r="X26" s="10">
        <v>814853.17774055596</v>
      </c>
      <c r="Y26" s="10">
        <v>734787.44422018796</v>
      </c>
      <c r="Z26" s="10">
        <v>711681.65249047498</v>
      </c>
      <c r="AA26" s="10">
        <v>672822.73577889102</v>
      </c>
      <c r="AB26" s="10">
        <v>681720.17168293905</v>
      </c>
      <c r="AC26" s="10">
        <v>701597.26297339494</v>
      </c>
      <c r="AD26" s="10">
        <v>719057.18215218605</v>
      </c>
      <c r="AE26" s="10">
        <v>741153.35462812998</v>
      </c>
      <c r="AF26" s="10">
        <v>758363.01588896895</v>
      </c>
      <c r="AG26" s="10">
        <v>768517.56186195801</v>
      </c>
      <c r="AH26" s="10">
        <v>808657.78890707297</v>
      </c>
      <c r="AI26" s="10">
        <v>834909.15666513797</v>
      </c>
      <c r="AJ26" s="10">
        <v>841280.13959243696</v>
      </c>
      <c r="AK26" s="11"/>
      <c r="AL26" s="22">
        <v>3.2888721496165063E-2</v>
      </c>
      <c r="AM26" s="22">
        <v>2.8843039908195367E-2</v>
      </c>
      <c r="AN26" s="22">
        <v>2.3508826348185297E-2</v>
      </c>
      <c r="AO26" s="22">
        <v>1.727558717854083E-2</v>
      </c>
      <c r="AP26" s="22">
        <v>9.7904355801925469E-3</v>
      </c>
      <c r="AQ26" s="22">
        <v>1.8178580442596015E-3</v>
      </c>
      <c r="AR26" s="22">
        <v>-3.3449229627590116E-3</v>
      </c>
      <c r="AS26" s="22">
        <v>-1.1079319634054174E-3</v>
      </c>
      <c r="AT26" s="22">
        <v>4.8934098997499564E-3</v>
      </c>
      <c r="AU26" s="22">
        <v>1.5235248091937992E-2</v>
      </c>
      <c r="AV26" s="22">
        <v>1.6126764918219072E-2</v>
      </c>
      <c r="AW26" s="22">
        <v>2.1540722483505803E-2</v>
      </c>
      <c r="AX26" s="22">
        <v>2.7613026747848268E-2</v>
      </c>
      <c r="AY26" s="22">
        <v>2.6978579088403398E-2</v>
      </c>
      <c r="AZ26" s="22">
        <v>2.5079662791946955E-2</v>
      </c>
      <c r="BA26" s="22">
        <v>2.5870185947085789E-2</v>
      </c>
      <c r="BB26" s="22">
        <v>2.6893536703573639E-2</v>
      </c>
      <c r="BC26" s="22">
        <v>2.3026535336124088E-2</v>
      </c>
      <c r="BD26" s="22">
        <v>1.6693942729572031E-2</v>
      </c>
      <c r="BE26" s="22">
        <v>2.2786008601595631E-2</v>
      </c>
      <c r="BF26" s="22">
        <v>0</v>
      </c>
      <c r="BG26" s="11"/>
      <c r="BH26" s="10">
        <f t="shared" si="11"/>
        <v>723669.46799116128</v>
      </c>
      <c r="BI26" s="10">
        <f t="shared" si="12"/>
        <v>788302.29318424559</v>
      </c>
      <c r="BJ26" s="10">
        <f t="shared" si="13"/>
        <v>790464.80856950197</v>
      </c>
      <c r="BK26" s="10">
        <f t="shared" si="14"/>
        <v>844512.54578642035</v>
      </c>
      <c r="BL26" s="10">
        <f t="shared" si="15"/>
        <v>869292.30344059295</v>
      </c>
      <c r="BM26" s="10">
        <f t="shared" si="16"/>
        <v>879424.03281862766</v>
      </c>
      <c r="BN26" s="10">
        <f t="shared" si="17"/>
        <v>890897.47546017275</v>
      </c>
      <c r="BO26" s="10">
        <f t="shared" si="18"/>
        <v>894130.33023553097</v>
      </c>
      <c r="BP26" s="10">
        <f t="shared" si="19"/>
        <v>864011.1380832264</v>
      </c>
      <c r="BQ26" s="10">
        <f t="shared" si="20"/>
        <v>867751.33620430448</v>
      </c>
      <c r="BR26" s="10">
        <f t="shared" si="21"/>
        <v>835150.37133858632</v>
      </c>
      <c r="BS26" s="10">
        <f t="shared" si="22"/>
        <v>815082.96009816404</v>
      </c>
      <c r="BT26" s="10">
        <f t="shared" si="23"/>
        <v>847701.50288626913</v>
      </c>
      <c r="BU26" s="10">
        <f t="shared" si="24"/>
        <v>845313.06575987954</v>
      </c>
      <c r="BV26" s="10">
        <f t="shared" si="25"/>
        <v>834274.81367175421</v>
      </c>
      <c r="BW26" s="10">
        <f t="shared" si="26"/>
        <v>842112.5135213912</v>
      </c>
      <c r="BX26" s="10">
        <f t="shared" si="27"/>
        <v>843293.64327795058</v>
      </c>
      <c r="BY26" s="10">
        <f t="shared" si="28"/>
        <v>822838.2884102934</v>
      </c>
      <c r="BZ26" s="10">
        <f t="shared" si="29"/>
        <v>835882.52553731785</v>
      </c>
      <c r="CA26" s="10">
        <f t="shared" si="30"/>
        <v>853933.40389046073</v>
      </c>
      <c r="CB26" s="10">
        <f t="shared" si="31"/>
        <v>841280.13959243696</v>
      </c>
      <c r="CC26" s="12"/>
      <c r="CD26" s="13" t="s">
        <v>176</v>
      </c>
      <c r="CE26" s="13" t="s">
        <v>177</v>
      </c>
      <c r="CF26" s="13">
        <v>25</v>
      </c>
      <c r="CG26" s="13">
        <v>1003248.13317625</v>
      </c>
      <c r="CH26" s="13">
        <v>362.14066453098297</v>
      </c>
      <c r="CI26" s="13">
        <v>2770.3272000000002</v>
      </c>
      <c r="CJ26" s="11"/>
      <c r="CK26" s="13" t="s">
        <v>176</v>
      </c>
      <c r="CL26" s="13" t="s">
        <v>177</v>
      </c>
      <c r="CM26" s="14">
        <v>1042485.50180277</v>
      </c>
      <c r="CN26" s="13">
        <v>25</v>
      </c>
      <c r="CO26" s="14">
        <v>376.30411857570903</v>
      </c>
      <c r="CP26" s="14">
        <v>2770.3271113495298</v>
      </c>
      <c r="CQ26" s="11"/>
      <c r="CT26" s="10"/>
      <c r="DT26" s="8">
        <f t="shared" ref="DT26:DT34" si="43">2000000*CP26/SUM(CP$26:CP$34)</f>
        <v>186743.64611370221</v>
      </c>
      <c r="DZ26" s="8">
        <f t="shared" si="4"/>
        <v>186743.64611370221</v>
      </c>
      <c r="EA26" s="8">
        <f t="shared" si="32"/>
        <v>142775.78835446161</v>
      </c>
      <c r="EB26" s="8">
        <f t="shared" si="33"/>
        <v>1.7697706250300695E-3</v>
      </c>
      <c r="EC26" s="8">
        <f t="shared" si="5"/>
        <v>51.537519800291811</v>
      </c>
      <c r="ED26" s="12"/>
      <c r="FN26" s="12"/>
    </row>
    <row r="27" spans="1:170" x14ac:dyDescent="0.3">
      <c r="A27" s="13">
        <v>26</v>
      </c>
      <c r="B27" s="13" t="s">
        <v>178</v>
      </c>
      <c r="C27" s="13" t="s">
        <v>179</v>
      </c>
      <c r="D27" s="13" t="s">
        <v>148</v>
      </c>
      <c r="F27" s="13">
        <f t="shared" si="41"/>
        <v>10</v>
      </c>
      <c r="G27" s="13">
        <f t="shared" si="0"/>
        <v>45.960867683967294</v>
      </c>
      <c r="H27" s="13">
        <f>(2*EA27)/$F27/$CI27</f>
        <v>10.307503630218243</v>
      </c>
      <c r="I27" s="13">
        <f t="shared" si="7"/>
        <v>4.4589717678318346</v>
      </c>
      <c r="J27" s="13">
        <f t="shared" si="1"/>
        <v>1</v>
      </c>
      <c r="K27" s="13">
        <f t="shared" si="8"/>
        <v>20</v>
      </c>
      <c r="M27" s="14" t="str">
        <f t="shared" si="9"/>
        <v>NaN</v>
      </c>
      <c r="N27" s="14" t="str">
        <f t="shared" si="10"/>
        <v>NaN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L27" s="23">
        <v>3.2888721496165063E-2</v>
      </c>
      <c r="AM27" s="23">
        <v>2.8843039908195367E-2</v>
      </c>
      <c r="AN27" s="23">
        <v>2.3508826348185297E-2</v>
      </c>
      <c r="AO27" s="23">
        <v>1.727558717854083E-2</v>
      </c>
      <c r="AP27" s="23">
        <v>9.7904355801925469E-3</v>
      </c>
      <c r="AQ27" s="23">
        <v>1.8178580442596015E-3</v>
      </c>
      <c r="AR27" s="23">
        <v>-3.3449229627590116E-3</v>
      </c>
      <c r="AS27" s="23">
        <v>-1.1079319634054174E-3</v>
      </c>
      <c r="AT27" s="23">
        <v>4.8934098997499564E-3</v>
      </c>
      <c r="AU27" s="23">
        <v>1.5235248091937992E-2</v>
      </c>
      <c r="AV27" s="23">
        <v>1.6126764918219072E-2</v>
      </c>
      <c r="AW27" s="23">
        <v>2.1540722483505803E-2</v>
      </c>
      <c r="AX27" s="23">
        <v>2.7613026747848268E-2</v>
      </c>
      <c r="AY27" s="23">
        <v>2.6978579088403398E-2</v>
      </c>
      <c r="AZ27" s="23">
        <v>2.5079662791946955E-2</v>
      </c>
      <c r="BA27" s="23">
        <v>2.5870185947085789E-2</v>
      </c>
      <c r="BB27" s="23">
        <v>2.6893536703573639E-2</v>
      </c>
      <c r="BC27" s="23">
        <v>2.3026535336124088E-2</v>
      </c>
      <c r="BD27" s="23">
        <v>1.6693942729572031E-2</v>
      </c>
      <c r="BE27" s="23">
        <v>2.2786008601595631E-2</v>
      </c>
      <c r="BF27" s="23">
        <v>0</v>
      </c>
      <c r="BH27" s="14" t="str">
        <f t="shared" si="11"/>
        <v>NaN</v>
      </c>
      <c r="BI27" s="14" t="str">
        <f t="shared" si="12"/>
        <v>NaN</v>
      </c>
      <c r="BJ27" s="14" t="str">
        <f t="shared" si="13"/>
        <v>NaN</v>
      </c>
      <c r="BK27" s="14" t="str">
        <f t="shared" si="14"/>
        <v>NaN</v>
      </c>
      <c r="BL27" s="14" t="str">
        <f t="shared" si="15"/>
        <v>NaN</v>
      </c>
      <c r="BM27" s="14" t="str">
        <f t="shared" si="16"/>
        <v>NaN</v>
      </c>
      <c r="BN27" s="14" t="str">
        <f t="shared" si="17"/>
        <v>NaN</v>
      </c>
      <c r="BO27" s="14" t="str">
        <f t="shared" si="18"/>
        <v>NaN</v>
      </c>
      <c r="BP27" s="14" t="str">
        <f t="shared" si="19"/>
        <v>NaN</v>
      </c>
      <c r="BQ27" s="14" t="str">
        <f t="shared" si="20"/>
        <v>NaN</v>
      </c>
      <c r="BR27" s="14" t="str">
        <f t="shared" si="21"/>
        <v>NaN</v>
      </c>
      <c r="BS27" s="14" t="str">
        <f t="shared" si="22"/>
        <v>NaN</v>
      </c>
      <c r="BT27" s="14" t="str">
        <f t="shared" si="23"/>
        <v>NaN</v>
      </c>
      <c r="BU27" s="14" t="str">
        <f t="shared" si="24"/>
        <v>NaN</v>
      </c>
      <c r="BV27" s="14" t="str">
        <f t="shared" si="25"/>
        <v>NaN</v>
      </c>
      <c r="BW27" s="14" t="str">
        <f t="shared" si="26"/>
        <v>NaN</v>
      </c>
      <c r="BX27" s="14" t="str">
        <f t="shared" si="27"/>
        <v>NaN</v>
      </c>
      <c r="BY27" s="14" t="str">
        <f t="shared" si="28"/>
        <v>NaN</v>
      </c>
      <c r="BZ27" s="14" t="str">
        <f t="shared" si="29"/>
        <v>NaN</v>
      </c>
      <c r="CA27" s="14" t="str">
        <f t="shared" si="30"/>
        <v>NaN</v>
      </c>
      <c r="CB27" s="14" t="str">
        <f t="shared" si="31"/>
        <v>NaN</v>
      </c>
      <c r="CD27" s="13" t="s">
        <v>178</v>
      </c>
      <c r="CE27" s="13" t="s">
        <v>179</v>
      </c>
      <c r="CF27" s="13">
        <v>26</v>
      </c>
      <c r="CG27" s="13">
        <v>173243.325915316</v>
      </c>
      <c r="CH27" s="13">
        <v>51.9166619663619</v>
      </c>
      <c r="CI27" s="13">
        <v>3336.9504000000002</v>
      </c>
      <c r="CK27" s="13" t="s">
        <v>178</v>
      </c>
      <c r="CL27" s="13" t="s">
        <v>179</v>
      </c>
      <c r="CM27" s="14">
        <v>326612.45126607898</v>
      </c>
      <c r="CN27" s="13">
        <v>26</v>
      </c>
      <c r="CO27" s="14">
        <v>97.877529650329194</v>
      </c>
      <c r="CP27" s="14">
        <v>3336.9502932175901</v>
      </c>
      <c r="CT27" s="14"/>
      <c r="DT27" s="13">
        <f t="shared" si="43"/>
        <v>224938.87530562366</v>
      </c>
      <c r="DZ27" s="13">
        <f t="shared" si="4"/>
        <v>224938.87530562366</v>
      </c>
      <c r="EA27" s="13">
        <f t="shared" si="32"/>
        <v>171978.14180929109</v>
      </c>
      <c r="EB27" s="13">
        <f t="shared" si="33"/>
        <v>2.1317470351886036E-3</v>
      </c>
      <c r="EC27" s="13">
        <f t="shared" si="5"/>
        <v>51.537519800291804</v>
      </c>
    </row>
    <row r="28" spans="1:170" s="8" customFormat="1" x14ac:dyDescent="0.3">
      <c r="A28" s="8">
        <v>27</v>
      </c>
      <c r="B28" s="8" t="s">
        <v>180</v>
      </c>
      <c r="C28" s="8" t="s">
        <v>181</v>
      </c>
      <c r="D28" s="8" t="s">
        <v>148</v>
      </c>
      <c r="F28" s="8">
        <f t="shared" si="41"/>
        <v>10</v>
      </c>
      <c r="G28" s="8">
        <f t="shared" si="0"/>
        <v>51.548285858550599</v>
      </c>
      <c r="H28" s="8">
        <f>(2*EA28)/$F28/$CI28</f>
        <v>287.35365508429561</v>
      </c>
      <c r="I28" s="8">
        <f t="shared" si="7"/>
        <v>0.17938969957917827</v>
      </c>
      <c r="J28" s="8">
        <f t="shared" si="1"/>
        <v>5</v>
      </c>
      <c r="K28" s="8">
        <f t="shared" si="8"/>
        <v>4</v>
      </c>
      <c r="M28" s="10">
        <f t="shared" si="9"/>
        <v>1181796.1753855618</v>
      </c>
      <c r="N28" s="10">
        <f t="shared" si="10"/>
        <v>1188741.4943620625</v>
      </c>
      <c r="O28" s="11"/>
      <c r="P28" s="10">
        <v>537119.32015301404</v>
      </c>
      <c r="Q28" s="10">
        <v>652987.12164599204</v>
      </c>
      <c r="R28" s="10">
        <v>759804.58848333999</v>
      </c>
      <c r="S28" s="10">
        <v>923059.28727771703</v>
      </c>
      <c r="T28" s="10">
        <v>1078142.8832725901</v>
      </c>
      <c r="U28" s="10">
        <v>1239567.4545756499</v>
      </c>
      <c r="V28" s="10">
        <v>1343266.26667893</v>
      </c>
      <c r="W28" s="10">
        <v>1331039.7395133199</v>
      </c>
      <c r="X28" s="10">
        <v>1186698.21784651</v>
      </c>
      <c r="Y28" s="10">
        <v>1102960.2204375099</v>
      </c>
      <c r="Z28" s="10">
        <v>1052120.99951998</v>
      </c>
      <c r="AA28" s="10">
        <v>976137.98963304702</v>
      </c>
      <c r="AB28" s="10">
        <v>966301.015738594</v>
      </c>
      <c r="AC28" s="10">
        <v>980873.235760991</v>
      </c>
      <c r="AD28" s="10">
        <v>991273.20470214402</v>
      </c>
      <c r="AE28" s="10">
        <v>1020054.88689054</v>
      </c>
      <c r="AF28" s="10">
        <v>1033129.97829662</v>
      </c>
      <c r="AG28" s="10">
        <v>1042989.41471283</v>
      </c>
      <c r="AH28" s="10">
        <v>1068903.27304765</v>
      </c>
      <c r="AI28" s="10">
        <v>1113208.4174655101</v>
      </c>
      <c r="AJ28" s="10">
        <v>1120288.39455645</v>
      </c>
      <c r="AK28" s="11"/>
      <c r="AL28" s="22">
        <v>3.2888721496165063E-2</v>
      </c>
      <c r="AM28" s="22">
        <v>2.8843039908195367E-2</v>
      </c>
      <c r="AN28" s="22">
        <v>2.3508826348185297E-2</v>
      </c>
      <c r="AO28" s="22">
        <v>1.727558717854083E-2</v>
      </c>
      <c r="AP28" s="22">
        <v>9.7904355801925469E-3</v>
      </c>
      <c r="AQ28" s="22">
        <v>1.8178580442596015E-3</v>
      </c>
      <c r="AR28" s="22">
        <v>-3.3449229627590116E-3</v>
      </c>
      <c r="AS28" s="22">
        <v>-1.1079319634054174E-3</v>
      </c>
      <c r="AT28" s="22">
        <v>4.8934098997499564E-3</v>
      </c>
      <c r="AU28" s="22">
        <v>1.5235248091937992E-2</v>
      </c>
      <c r="AV28" s="22">
        <v>1.6126764918219072E-2</v>
      </c>
      <c r="AW28" s="22">
        <v>2.1540722483505803E-2</v>
      </c>
      <c r="AX28" s="22">
        <v>2.7613026747848268E-2</v>
      </c>
      <c r="AY28" s="22">
        <v>2.6978579088403398E-2</v>
      </c>
      <c r="AZ28" s="22">
        <v>2.5079662791946955E-2</v>
      </c>
      <c r="BA28" s="22">
        <v>2.5870185947085789E-2</v>
      </c>
      <c r="BB28" s="22">
        <v>2.6893536703573639E-2</v>
      </c>
      <c r="BC28" s="22">
        <v>2.3026535336124088E-2</v>
      </c>
      <c r="BD28" s="22">
        <v>1.6693942729572031E-2</v>
      </c>
      <c r="BE28" s="22">
        <v>2.2786008601595631E-2</v>
      </c>
      <c r="BF28" s="22">
        <v>0</v>
      </c>
      <c r="BG28" s="11"/>
      <c r="BH28" s="10">
        <f t="shared" si="11"/>
        <v>1025986.1039367339</v>
      </c>
      <c r="BI28" s="10">
        <f t="shared" si="12"/>
        <v>1120825.4169380262</v>
      </c>
      <c r="BJ28" s="10">
        <f t="shared" si="13"/>
        <v>1154384.7253864175</v>
      </c>
      <c r="BK28" s="10">
        <f t="shared" si="14"/>
        <v>1235054.6516461116</v>
      </c>
      <c r="BL28" s="10">
        <f t="shared" si="15"/>
        <v>1260016.8895497594</v>
      </c>
      <c r="BM28" s="10">
        <f t="shared" si="16"/>
        <v>1273801.3361569634</v>
      </c>
      <c r="BN28" s="10">
        <f t="shared" si="17"/>
        <v>1281712.0770127943</v>
      </c>
      <c r="BO28" s="10">
        <f t="shared" si="18"/>
        <v>1311995.5458611927</v>
      </c>
      <c r="BP28" s="10">
        <f t="shared" si="19"/>
        <v>1258288.6166142621</v>
      </c>
      <c r="BQ28" s="10">
        <f t="shared" si="20"/>
        <v>1302547.0326055794</v>
      </c>
      <c r="BR28" s="10">
        <f t="shared" si="21"/>
        <v>1234652.0953116689</v>
      </c>
      <c r="BS28" s="10">
        <f t="shared" si="22"/>
        <v>1182530.5533608529</v>
      </c>
      <c r="BT28" s="10">
        <f t="shared" si="23"/>
        <v>1201570.464403253</v>
      </c>
      <c r="BU28" s="10">
        <f t="shared" si="24"/>
        <v>1181796.1753855618</v>
      </c>
      <c r="BV28" s="10">
        <f t="shared" si="25"/>
        <v>1150109.1827988352</v>
      </c>
      <c r="BW28" s="10">
        <f t="shared" si="26"/>
        <v>1159005.7298737729</v>
      </c>
      <c r="BX28" s="10">
        <f t="shared" si="27"/>
        <v>1148832.320568996</v>
      </c>
      <c r="BY28" s="10">
        <f t="shared" si="28"/>
        <v>1116710.4922795657</v>
      </c>
      <c r="BZ28" s="10">
        <f t="shared" si="29"/>
        <v>1104889.5833152595</v>
      </c>
      <c r="CA28" s="10">
        <f t="shared" si="30"/>
        <v>1138573.9940412478</v>
      </c>
      <c r="CB28" s="10">
        <f t="shared" si="31"/>
        <v>1120288.39455645</v>
      </c>
      <c r="CC28" s="12"/>
      <c r="CD28" s="13" t="s">
        <v>180</v>
      </c>
      <c r="CE28" s="13" t="s">
        <v>181</v>
      </c>
      <c r="CF28" s="13">
        <v>27</v>
      </c>
      <c r="CG28" s="13">
        <v>146825.78646484399</v>
      </c>
      <c r="CH28" s="13">
        <v>46.052762700816402</v>
      </c>
      <c r="CI28" s="13">
        <v>3188.2080000000001</v>
      </c>
      <c r="CJ28" s="11"/>
      <c r="CK28" s="13" t="s">
        <v>180</v>
      </c>
      <c r="CL28" s="13" t="s">
        <v>181</v>
      </c>
      <c r="CM28" s="14">
        <v>311172.433867844</v>
      </c>
      <c r="CN28" s="13">
        <v>27</v>
      </c>
      <c r="CO28" s="14">
        <v>97.601048559367001</v>
      </c>
      <c r="CP28" s="14">
        <v>3188.2078979773401</v>
      </c>
      <c r="CQ28" s="11"/>
      <c r="CT28" s="10"/>
      <c r="CX28" s="8">
        <v>16000</v>
      </c>
      <c r="DF28" s="8">
        <v>3000000</v>
      </c>
      <c r="DM28" s="8">
        <v>1515000</v>
      </c>
      <c r="DP28" s="8">
        <f t="shared" ref="DP28:DP33" si="44">8200000*$CP28/SUM($CP$28:$CP$33)</f>
        <v>1245436.9890661966</v>
      </c>
      <c r="DT28" s="8">
        <f t="shared" si="43"/>
        <v>214912.3708162969</v>
      </c>
      <c r="DZ28" s="8">
        <f t="shared" si="4"/>
        <v>5991349.3598824935</v>
      </c>
      <c r="EA28" s="8">
        <f t="shared" si="32"/>
        <v>4580716.1098449593</v>
      </c>
      <c r="EB28" s="8">
        <f t="shared" si="33"/>
        <v>5.678005288038946E-2</v>
      </c>
      <c r="EC28" s="8">
        <f t="shared" si="5"/>
        <v>1436.7683213980661</v>
      </c>
      <c r="ED28" s="12"/>
      <c r="FN28" s="12"/>
    </row>
    <row r="29" spans="1:170" x14ac:dyDescent="0.3">
      <c r="A29" s="13">
        <v>28</v>
      </c>
      <c r="B29" s="13" t="s">
        <v>182</v>
      </c>
      <c r="C29" s="13" t="s">
        <v>183</v>
      </c>
      <c r="D29" s="8" t="s">
        <v>148</v>
      </c>
      <c r="F29" s="13">
        <f t="shared" si="41"/>
        <v>10</v>
      </c>
      <c r="G29" s="14">
        <f t="shared" si="0"/>
        <v>62.749384604454498</v>
      </c>
      <c r="H29" s="13">
        <f>(2*EA29)/$F29/$CI29</f>
        <v>70.040436812463938</v>
      </c>
      <c r="I29" s="13">
        <f t="shared" si="7"/>
        <v>0.89590224533391305</v>
      </c>
      <c r="J29" s="13">
        <f t="shared" si="1"/>
        <v>2</v>
      </c>
      <c r="K29" s="13">
        <f t="shared" si="8"/>
        <v>10</v>
      </c>
      <c r="M29" s="14" t="str">
        <f t="shared" si="9"/>
        <v>NaN</v>
      </c>
      <c r="N29" s="14" t="str">
        <f t="shared" si="10"/>
        <v>NaN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L29" s="23">
        <v>3.2888721496165063E-2</v>
      </c>
      <c r="AM29" s="23">
        <v>2.8843039908195367E-2</v>
      </c>
      <c r="AN29" s="23">
        <v>2.3508826348185297E-2</v>
      </c>
      <c r="AO29" s="23">
        <v>1.727558717854083E-2</v>
      </c>
      <c r="AP29" s="23">
        <v>9.7904355801925469E-3</v>
      </c>
      <c r="AQ29" s="23">
        <v>1.8178580442596015E-3</v>
      </c>
      <c r="AR29" s="23">
        <v>-3.3449229627590116E-3</v>
      </c>
      <c r="AS29" s="23">
        <v>-1.1079319634054174E-3</v>
      </c>
      <c r="AT29" s="23">
        <v>4.8934098997499564E-3</v>
      </c>
      <c r="AU29" s="23">
        <v>1.5235248091937992E-2</v>
      </c>
      <c r="AV29" s="23">
        <v>1.6126764918219072E-2</v>
      </c>
      <c r="AW29" s="23">
        <v>2.1540722483505803E-2</v>
      </c>
      <c r="AX29" s="23">
        <v>2.7613026747848268E-2</v>
      </c>
      <c r="AY29" s="23">
        <v>2.6978579088403398E-2</v>
      </c>
      <c r="AZ29" s="23">
        <v>2.5079662791946955E-2</v>
      </c>
      <c r="BA29" s="23">
        <v>2.5870185947085789E-2</v>
      </c>
      <c r="BB29" s="23">
        <v>2.6893536703573639E-2</v>
      </c>
      <c r="BC29" s="23">
        <v>2.3026535336124088E-2</v>
      </c>
      <c r="BD29" s="23">
        <v>1.6693942729572031E-2</v>
      </c>
      <c r="BE29" s="23">
        <v>2.2786008601595631E-2</v>
      </c>
      <c r="BF29" s="23">
        <v>0</v>
      </c>
      <c r="BH29" s="14" t="str">
        <f t="shared" si="11"/>
        <v>NaN</v>
      </c>
      <c r="BI29" s="14" t="str">
        <f t="shared" si="12"/>
        <v>NaN</v>
      </c>
      <c r="BJ29" s="14" t="str">
        <f t="shared" si="13"/>
        <v>NaN</v>
      </c>
      <c r="BK29" s="14" t="str">
        <f t="shared" si="14"/>
        <v>NaN</v>
      </c>
      <c r="BL29" s="14" t="str">
        <f t="shared" si="15"/>
        <v>NaN</v>
      </c>
      <c r="BM29" s="14" t="str">
        <f t="shared" si="16"/>
        <v>NaN</v>
      </c>
      <c r="BN29" s="14" t="str">
        <f t="shared" si="17"/>
        <v>NaN</v>
      </c>
      <c r="BO29" s="14" t="str">
        <f t="shared" si="18"/>
        <v>NaN</v>
      </c>
      <c r="BP29" s="14" t="str">
        <f t="shared" si="19"/>
        <v>NaN</v>
      </c>
      <c r="BQ29" s="14" t="str">
        <f t="shared" si="20"/>
        <v>NaN</v>
      </c>
      <c r="BR29" s="14" t="str">
        <f t="shared" si="21"/>
        <v>NaN</v>
      </c>
      <c r="BS29" s="14" t="str">
        <f t="shared" si="22"/>
        <v>NaN</v>
      </c>
      <c r="BT29" s="14" t="str">
        <f t="shared" si="23"/>
        <v>NaN</v>
      </c>
      <c r="BU29" s="14" t="str">
        <f t="shared" si="24"/>
        <v>NaN</v>
      </c>
      <c r="BV29" s="14" t="str">
        <f t="shared" si="25"/>
        <v>NaN</v>
      </c>
      <c r="BW29" s="14" t="str">
        <f t="shared" si="26"/>
        <v>NaN</v>
      </c>
      <c r="BX29" s="14" t="str">
        <f t="shared" si="27"/>
        <v>NaN</v>
      </c>
      <c r="BY29" s="14" t="str">
        <f t="shared" si="28"/>
        <v>NaN</v>
      </c>
      <c r="BZ29" s="14" t="str">
        <f t="shared" si="29"/>
        <v>NaN</v>
      </c>
      <c r="CA29" s="14" t="str">
        <f t="shared" si="30"/>
        <v>NaN</v>
      </c>
      <c r="CB29" s="14" t="str">
        <f t="shared" si="31"/>
        <v>NaN</v>
      </c>
      <c r="CD29" s="13" t="s">
        <v>182</v>
      </c>
      <c r="CE29" s="13" t="s">
        <v>183</v>
      </c>
      <c r="CF29" s="13">
        <v>28</v>
      </c>
      <c r="CG29" s="13">
        <v>83973.987583998503</v>
      </c>
      <c r="CH29" s="13">
        <v>41.711613718231497</v>
      </c>
      <c r="CI29" s="13">
        <v>2013.204</v>
      </c>
      <c r="CK29" s="13" t="s">
        <v>182</v>
      </c>
      <c r="CL29" s="13" t="s">
        <v>183</v>
      </c>
      <c r="CM29" s="14">
        <v>210301.29293758399</v>
      </c>
      <c r="CN29" s="13">
        <v>28</v>
      </c>
      <c r="CO29" s="14">
        <v>104.460998322686</v>
      </c>
      <c r="CP29" s="14">
        <v>2013.20393557747</v>
      </c>
      <c r="CT29" s="14"/>
      <c r="DP29" s="13">
        <f t="shared" si="44"/>
        <v>786435.11594476399</v>
      </c>
      <c r="DT29" s="13">
        <f t="shared" si="43"/>
        <v>135707.09457377068</v>
      </c>
      <c r="DZ29" s="13">
        <f t="shared" si="4"/>
        <v>922142.21051853464</v>
      </c>
      <c r="EA29" s="13">
        <f t="shared" si="32"/>
        <v>705028.43776299828</v>
      </c>
      <c r="EB29" s="13">
        <f t="shared" si="33"/>
        <v>8.7391471155186546E-3</v>
      </c>
      <c r="EC29" s="13">
        <f t="shared" si="5"/>
        <v>350.20219526879032</v>
      </c>
    </row>
    <row r="30" spans="1:170" s="8" customFormat="1" x14ac:dyDescent="0.3">
      <c r="A30" s="8">
        <v>29</v>
      </c>
      <c r="B30" s="8" t="s">
        <v>184</v>
      </c>
      <c r="C30" s="8" t="s">
        <v>185</v>
      </c>
      <c r="D30" s="8" t="s">
        <v>148</v>
      </c>
      <c r="F30" s="8">
        <f t="shared" si="41"/>
        <v>10</v>
      </c>
      <c r="G30" s="8">
        <f t="shared" si="0"/>
        <v>65.691713347782098</v>
      </c>
      <c r="H30" s="8">
        <f>(2*EA30)/$F30/$CI30</f>
        <v>177.40311387569105</v>
      </c>
      <c r="I30" s="8">
        <f t="shared" si="7"/>
        <v>0.37029628123558889</v>
      </c>
      <c r="J30" s="8">
        <f t="shared" si="1"/>
        <v>5</v>
      </c>
      <c r="K30" s="8">
        <f t="shared" si="8"/>
        <v>4</v>
      </c>
      <c r="M30" s="10">
        <f t="shared" si="9"/>
        <v>820359.01455878234</v>
      </c>
      <c r="N30" s="10">
        <f t="shared" si="10"/>
        <v>801785.07770100958</v>
      </c>
      <c r="O30" s="11"/>
      <c r="P30" s="10">
        <v>349263.97706045298</v>
      </c>
      <c r="Q30" s="10">
        <v>428085.74687674502</v>
      </c>
      <c r="R30" s="10">
        <v>471939.769423739</v>
      </c>
      <c r="S30" s="10">
        <v>618350.644418012</v>
      </c>
      <c r="T30" s="10">
        <v>708661.48107125505</v>
      </c>
      <c r="U30" s="10">
        <v>828765.25192528998</v>
      </c>
      <c r="V30" s="10">
        <v>908719.38847812195</v>
      </c>
      <c r="W30" s="10">
        <v>863693.87070825195</v>
      </c>
      <c r="X30" s="10">
        <v>785072.15466397896</v>
      </c>
      <c r="Y30" s="10">
        <v>727179.95187760296</v>
      </c>
      <c r="Z30" s="10">
        <v>711755.09829078801</v>
      </c>
      <c r="AA30" s="10">
        <v>671455.87791674805</v>
      </c>
      <c r="AB30" s="10">
        <v>665263.20499519305</v>
      </c>
      <c r="AC30" s="10">
        <v>666726.90449441504</v>
      </c>
      <c r="AD30" s="10">
        <v>671240.39454938297</v>
      </c>
      <c r="AE30" s="10">
        <v>679263.26821268699</v>
      </c>
      <c r="AF30" s="10">
        <v>697876.34757115901</v>
      </c>
      <c r="AG30" s="10">
        <v>716214.939419228</v>
      </c>
      <c r="AH30" s="10">
        <v>747510.55102687795</v>
      </c>
      <c r="AI30" s="10">
        <v>802082.75011546002</v>
      </c>
      <c r="AJ30" s="10">
        <v>835990.645135739</v>
      </c>
      <c r="AK30" s="11"/>
      <c r="AL30" s="22">
        <v>3.2888721496165063E-2</v>
      </c>
      <c r="AM30" s="22">
        <v>2.8843039908195367E-2</v>
      </c>
      <c r="AN30" s="22">
        <v>2.3508826348185297E-2</v>
      </c>
      <c r="AO30" s="22">
        <v>1.727558717854083E-2</v>
      </c>
      <c r="AP30" s="22">
        <v>9.7904355801925469E-3</v>
      </c>
      <c r="AQ30" s="22">
        <v>1.8178580442596015E-3</v>
      </c>
      <c r="AR30" s="22">
        <v>-3.3449229627590116E-3</v>
      </c>
      <c r="AS30" s="22">
        <v>-1.1079319634054174E-3</v>
      </c>
      <c r="AT30" s="22">
        <v>4.8934098997499564E-3</v>
      </c>
      <c r="AU30" s="22">
        <v>1.5235248091937992E-2</v>
      </c>
      <c r="AV30" s="22">
        <v>1.6126764918219072E-2</v>
      </c>
      <c r="AW30" s="22">
        <v>2.1540722483505803E-2</v>
      </c>
      <c r="AX30" s="22">
        <v>2.7613026747848268E-2</v>
      </c>
      <c r="AY30" s="22">
        <v>2.6978579088403398E-2</v>
      </c>
      <c r="AZ30" s="22">
        <v>2.5079662791946955E-2</v>
      </c>
      <c r="BA30" s="22">
        <v>2.5870185947085789E-2</v>
      </c>
      <c r="BB30" s="22">
        <v>2.6893536703573639E-2</v>
      </c>
      <c r="BC30" s="22">
        <v>2.3026535336124088E-2</v>
      </c>
      <c r="BD30" s="22">
        <v>1.6693942729572031E-2</v>
      </c>
      <c r="BE30" s="22">
        <v>2.2786008601595631E-2</v>
      </c>
      <c r="BF30" s="22">
        <v>0</v>
      </c>
      <c r="BG30" s="11"/>
      <c r="BH30" s="10">
        <f t="shared" si="11"/>
        <v>667151.55017626134</v>
      </c>
      <c r="BI30" s="10">
        <f t="shared" si="12"/>
        <v>734791.49867288826</v>
      </c>
      <c r="BJ30" s="10">
        <f t="shared" si="13"/>
        <v>717026.547855729</v>
      </c>
      <c r="BK30" s="10">
        <f t="shared" si="14"/>
        <v>827354.05001896282</v>
      </c>
      <c r="BL30" s="10">
        <f t="shared" si="15"/>
        <v>828206.95566133736</v>
      </c>
      <c r="BM30" s="10">
        <f t="shared" si="16"/>
        <v>851653.76145205111</v>
      </c>
      <c r="BN30" s="10">
        <f t="shared" si="17"/>
        <v>867077.99020942941</v>
      </c>
      <c r="BO30" s="10">
        <f t="shared" si="18"/>
        <v>851336.34835813986</v>
      </c>
      <c r="BP30" s="10">
        <f t="shared" si="19"/>
        <v>832433.50379943545</v>
      </c>
      <c r="BQ30" s="10">
        <f t="shared" si="20"/>
        <v>858767.22563277988</v>
      </c>
      <c r="BR30" s="10">
        <f t="shared" si="21"/>
        <v>835236.55915471178</v>
      </c>
      <c r="BS30" s="10">
        <f t="shared" si="22"/>
        <v>813427.09668412642</v>
      </c>
      <c r="BT30" s="10">
        <f t="shared" si="23"/>
        <v>827237.68800499279</v>
      </c>
      <c r="BU30" s="10">
        <f t="shared" si="24"/>
        <v>803299.83226308599</v>
      </c>
      <c r="BV30" s="10">
        <f t="shared" si="25"/>
        <v>778796.13609522267</v>
      </c>
      <c r="BW30" s="10">
        <f t="shared" si="26"/>
        <v>771791.82225296274</v>
      </c>
      <c r="BX30" s="10">
        <f t="shared" si="27"/>
        <v>776032.94908958976</v>
      </c>
      <c r="BY30" s="10">
        <f t="shared" si="28"/>
        <v>766838.78694688238</v>
      </c>
      <c r="BZ30" s="10">
        <f t="shared" si="29"/>
        <v>772676.66969809076</v>
      </c>
      <c r="CA30" s="10">
        <f t="shared" si="30"/>
        <v>820359.01455878234</v>
      </c>
      <c r="CB30" s="10">
        <f t="shared" si="31"/>
        <v>835990.645135739</v>
      </c>
      <c r="CC30" s="12"/>
      <c r="CD30" s="13" t="s">
        <v>184</v>
      </c>
      <c r="CE30" s="13" t="s">
        <v>185</v>
      </c>
      <c r="CF30" s="13">
        <v>29</v>
      </c>
      <c r="CG30" s="13">
        <v>117677.34875386499</v>
      </c>
      <c r="CH30" s="13">
        <v>51.802031468006902</v>
      </c>
      <c r="CI30" s="13">
        <v>2271.6743999999999</v>
      </c>
      <c r="CJ30" s="11"/>
      <c r="CK30" s="13" t="s">
        <v>184</v>
      </c>
      <c r="CL30" s="13" t="s">
        <v>185</v>
      </c>
      <c r="CM30" s="14">
        <v>266907.52371712</v>
      </c>
      <c r="CN30" s="13">
        <v>29</v>
      </c>
      <c r="CO30" s="14">
        <v>117.493744815789</v>
      </c>
      <c r="CP30" s="14">
        <v>2271.6743273064199</v>
      </c>
      <c r="CQ30" s="11"/>
      <c r="CT30" s="10"/>
      <c r="DA30" s="8">
        <v>880000</v>
      </c>
      <c r="DG30" s="8">
        <v>300000</v>
      </c>
      <c r="DM30" s="8">
        <v>415000</v>
      </c>
      <c r="DP30" s="8">
        <f t="shared" si="44"/>
        <v>887403.62136810494</v>
      </c>
      <c r="DT30" s="8">
        <f t="shared" si="43"/>
        <v>153130.20073555098</v>
      </c>
      <c r="DZ30" s="8">
        <f t="shared" si="4"/>
        <v>2635533.8221036559</v>
      </c>
      <c r="EA30" s="8">
        <f t="shared" si="32"/>
        <v>2015010.5613584607</v>
      </c>
      <c r="EB30" s="8">
        <f t="shared" si="33"/>
        <v>2.49769694268063E-2</v>
      </c>
      <c r="EC30" s="8">
        <f t="shared" si="5"/>
        <v>887.01559776295414</v>
      </c>
      <c r="ED30" s="12"/>
      <c r="FN30" s="12"/>
    </row>
    <row r="31" spans="1:170" x14ac:dyDescent="0.3">
      <c r="A31" s="13">
        <v>30</v>
      </c>
      <c r="B31" s="13" t="s">
        <v>186</v>
      </c>
      <c r="C31" s="13" t="s">
        <v>172</v>
      </c>
      <c r="D31" s="13" t="s">
        <v>148</v>
      </c>
      <c r="F31" s="13">
        <f t="shared" si="41"/>
        <v>10</v>
      </c>
      <c r="G31" s="13">
        <f t="shared" si="0"/>
        <v>71.768302927085202</v>
      </c>
      <c r="H31" s="13">
        <f>(2*EA31)/$F31/$CI31</f>
        <v>70.040436812464023</v>
      </c>
      <c r="I31" s="13">
        <f t="shared" si="7"/>
        <v>1.0246695508088792</v>
      </c>
      <c r="J31" s="13">
        <f t="shared" si="1"/>
        <v>2</v>
      </c>
      <c r="K31" s="13">
        <f t="shared" si="8"/>
        <v>10</v>
      </c>
      <c r="M31" s="14">
        <f t="shared" si="9"/>
        <v>718290.66716219496</v>
      </c>
      <c r="N31" s="14">
        <f t="shared" si="10"/>
        <v>715526.53368584032</v>
      </c>
      <c r="P31" s="14">
        <v>312102.34568156197</v>
      </c>
      <c r="Q31" s="14">
        <v>369434.67038336</v>
      </c>
      <c r="R31" s="14">
        <v>430416.71127897402</v>
      </c>
      <c r="S31" s="14">
        <v>539225.66515015904</v>
      </c>
      <c r="T31" s="14">
        <v>644322.03013138101</v>
      </c>
      <c r="U31" s="14">
        <v>760744.58488768095</v>
      </c>
      <c r="V31" s="14">
        <v>827600.05774000695</v>
      </c>
      <c r="W31" s="14">
        <v>792445.39175537799</v>
      </c>
      <c r="X31" s="14">
        <v>680801.80563075305</v>
      </c>
      <c r="Y31" s="14">
        <v>664140.27857888001</v>
      </c>
      <c r="Z31" s="14">
        <v>632123.63116754405</v>
      </c>
      <c r="AA31" s="14">
        <v>578070.09148341999</v>
      </c>
      <c r="AB31" s="14">
        <v>576281.93757533201</v>
      </c>
      <c r="AC31" s="14">
        <v>596170.56273383403</v>
      </c>
      <c r="AD31" s="14">
        <v>584988.59358378698</v>
      </c>
      <c r="AE31" s="14">
        <v>602727.34759524802</v>
      </c>
      <c r="AF31" s="14">
        <v>625759.64904950606</v>
      </c>
      <c r="AG31" s="14">
        <v>645753.60871770303</v>
      </c>
      <c r="AH31" s="14">
        <v>688759.23039280297</v>
      </c>
      <c r="AI31" s="14">
        <v>720801.27483766805</v>
      </c>
      <c r="AJ31" s="14">
        <v>731669.80803944299</v>
      </c>
      <c r="AL31" s="23">
        <v>3.2888721496165063E-2</v>
      </c>
      <c r="AM31" s="23">
        <v>2.8843039908195367E-2</v>
      </c>
      <c r="AN31" s="23">
        <v>2.3508826348185297E-2</v>
      </c>
      <c r="AO31" s="23">
        <v>1.727558717854083E-2</v>
      </c>
      <c r="AP31" s="23">
        <v>9.7904355801925469E-3</v>
      </c>
      <c r="AQ31" s="23">
        <v>1.8178580442596015E-3</v>
      </c>
      <c r="AR31" s="23">
        <v>-3.3449229627590116E-3</v>
      </c>
      <c r="AS31" s="23">
        <v>-1.1079319634054174E-3</v>
      </c>
      <c r="AT31" s="23">
        <v>4.8934098997499564E-3</v>
      </c>
      <c r="AU31" s="23">
        <v>1.5235248091937992E-2</v>
      </c>
      <c r="AV31" s="23">
        <v>1.6126764918219072E-2</v>
      </c>
      <c r="AW31" s="23">
        <v>2.1540722483505803E-2</v>
      </c>
      <c r="AX31" s="23">
        <v>2.7613026747848268E-2</v>
      </c>
      <c r="AY31" s="23">
        <v>2.6978579088403398E-2</v>
      </c>
      <c r="AZ31" s="23">
        <v>2.5079662791946955E-2</v>
      </c>
      <c r="BA31" s="23">
        <v>2.5870185947085789E-2</v>
      </c>
      <c r="BB31" s="23">
        <v>2.6893536703573639E-2</v>
      </c>
      <c r="BC31" s="23">
        <v>2.3026535336124088E-2</v>
      </c>
      <c r="BD31" s="23">
        <v>1.6693942729572031E-2</v>
      </c>
      <c r="BE31" s="23">
        <v>2.2786008601595631E-2</v>
      </c>
      <c r="BF31" s="23">
        <v>0</v>
      </c>
      <c r="BH31" s="14">
        <f t="shared" si="11"/>
        <v>596166.73178711871</v>
      </c>
      <c r="BI31" s="14">
        <f t="shared" si="12"/>
        <v>634119.34896975663</v>
      </c>
      <c r="BJ31" s="14">
        <f t="shared" si="13"/>
        <v>653939.82161032711</v>
      </c>
      <c r="BK31" s="14">
        <f t="shared" si="14"/>
        <v>721484.7141560734</v>
      </c>
      <c r="BL31" s="14">
        <f t="shared" si="15"/>
        <v>753013.95841915032</v>
      </c>
      <c r="BM31" s="14">
        <f t="shared" si="16"/>
        <v>781754.5266512665</v>
      </c>
      <c r="BN31" s="14">
        <f t="shared" si="17"/>
        <v>789675.89319757267</v>
      </c>
      <c r="BO31" s="14">
        <f t="shared" si="18"/>
        <v>781107.27535560529</v>
      </c>
      <c r="BP31" s="14">
        <f t="shared" si="19"/>
        <v>721872.79740771663</v>
      </c>
      <c r="BQ31" s="14">
        <f t="shared" si="20"/>
        <v>784320.17135995626</v>
      </c>
      <c r="BR31" s="14">
        <f t="shared" si="21"/>
        <v>741789.93297643797</v>
      </c>
      <c r="BS31" s="14">
        <f t="shared" si="22"/>
        <v>700296.01595592359</v>
      </c>
      <c r="BT31" s="14">
        <f t="shared" si="23"/>
        <v>716591.77014351764</v>
      </c>
      <c r="BU31" s="14">
        <f t="shared" si="24"/>
        <v>718290.66716219496</v>
      </c>
      <c r="BV31" s="14">
        <f t="shared" si="25"/>
        <v>678723.83730522718</v>
      </c>
      <c r="BW31" s="14">
        <f t="shared" si="26"/>
        <v>684830.25608942076</v>
      </c>
      <c r="BX31" s="14">
        <f t="shared" si="27"/>
        <v>695839.75379483635</v>
      </c>
      <c r="BY31" s="14">
        <f t="shared" si="28"/>
        <v>691397.07470665046</v>
      </c>
      <c r="BZ31" s="14">
        <f t="shared" si="29"/>
        <v>711947.39342829061</v>
      </c>
      <c r="CA31" s="14">
        <f t="shared" si="30"/>
        <v>737225.45888616028</v>
      </c>
      <c r="CB31" s="14">
        <f t="shared" si="31"/>
        <v>731669.80803944299</v>
      </c>
      <c r="CD31" s="13" t="s">
        <v>186</v>
      </c>
      <c r="CE31" s="13" t="s">
        <v>115</v>
      </c>
      <c r="CF31" s="13">
        <v>30</v>
      </c>
      <c r="CG31" s="13">
        <v>131008.959184814</v>
      </c>
      <c r="CH31" s="13">
        <v>60.325532617218798</v>
      </c>
      <c r="CI31" s="13">
        <v>2171.6999999999998</v>
      </c>
      <c r="CK31" s="13" t="s">
        <v>186</v>
      </c>
      <c r="CL31" s="13" t="s">
        <v>172</v>
      </c>
      <c r="CM31" s="14">
        <v>286868.17347178399</v>
      </c>
      <c r="CN31" s="13">
        <v>30</v>
      </c>
      <c r="CO31" s="14">
        <v>132.093835544304</v>
      </c>
      <c r="CP31" s="14">
        <v>2171.6999305056002</v>
      </c>
      <c r="CT31" s="14"/>
      <c r="DP31" s="13">
        <f t="shared" si="44"/>
        <v>848349.76549681276</v>
      </c>
      <c r="DT31" s="13">
        <f t="shared" si="43"/>
        <v>146391.07476731524</v>
      </c>
      <c r="DZ31" s="13">
        <f t="shared" si="4"/>
        <v>994740.84026412806</v>
      </c>
      <c r="EA31" s="13">
        <f t="shared" si="32"/>
        <v>760534.08312814042</v>
      </c>
      <c r="EB31" s="13">
        <f t="shared" si="33"/>
        <v>9.4271647536821306E-3</v>
      </c>
      <c r="EC31" s="13">
        <f t="shared" si="5"/>
        <v>350.20219526879026</v>
      </c>
    </row>
    <row r="32" spans="1:170" s="8" customFormat="1" x14ac:dyDescent="0.3">
      <c r="A32" s="8">
        <v>31</v>
      </c>
      <c r="B32" s="8" t="s">
        <v>187</v>
      </c>
      <c r="C32" s="8" t="s">
        <v>120</v>
      </c>
      <c r="D32" s="8" t="s">
        <v>148</v>
      </c>
      <c r="F32" s="8">
        <f t="shared" si="41"/>
        <v>10</v>
      </c>
      <c r="G32" s="8">
        <f t="shared" si="0"/>
        <v>79.270974466596897</v>
      </c>
      <c r="H32" s="8">
        <f>(2*EA32)/$F32/$CI32</f>
        <v>112.70879970717952</v>
      </c>
      <c r="I32" s="8">
        <f t="shared" si="7"/>
        <v>0.70332551382451958</v>
      </c>
      <c r="J32" s="8">
        <f t="shared" si="1"/>
        <v>4</v>
      </c>
      <c r="K32" s="8">
        <f t="shared" si="8"/>
        <v>5</v>
      </c>
      <c r="M32" s="10">
        <f t="shared" si="9"/>
        <v>1045349.0108560232</v>
      </c>
      <c r="N32" s="10">
        <f t="shared" si="10"/>
        <v>1068270.9760989919</v>
      </c>
      <c r="O32" s="11"/>
      <c r="P32" s="10">
        <v>483935.197350264</v>
      </c>
      <c r="Q32" s="10">
        <v>587609.82609730796</v>
      </c>
      <c r="R32" s="10">
        <v>692129.78432438499</v>
      </c>
      <c r="S32" s="10">
        <v>839462.06951581105</v>
      </c>
      <c r="T32" s="10">
        <v>993900.73103986401</v>
      </c>
      <c r="U32" s="10">
        <v>1142236.2782182801</v>
      </c>
      <c r="V32" s="10">
        <v>1255263.53996781</v>
      </c>
      <c r="W32" s="10">
        <v>1210451.6725462801</v>
      </c>
      <c r="X32" s="10">
        <v>0</v>
      </c>
      <c r="Y32" s="10">
        <v>1016471.50733699</v>
      </c>
      <c r="Z32" s="10">
        <v>944033.26045539603</v>
      </c>
      <c r="AA32" s="10">
        <v>857768.14596298698</v>
      </c>
      <c r="AB32" s="10">
        <v>865605.47520627105</v>
      </c>
      <c r="AC32" s="10">
        <v>882742.60821973498</v>
      </c>
      <c r="AD32" s="10">
        <v>864482.77463339502</v>
      </c>
      <c r="AE32" s="10">
        <v>867976.57058601</v>
      </c>
      <c r="AF32" s="10">
        <v>906795.03168618202</v>
      </c>
      <c r="AG32" s="10">
        <v>927561.91331885103</v>
      </c>
      <c r="AH32" s="10">
        <v>967169.29895401397</v>
      </c>
      <c r="AI32" s="10">
        <v>1005682.67219624</v>
      </c>
      <c r="AJ32" s="10">
        <v>1025137.1319695</v>
      </c>
      <c r="AK32" s="11"/>
      <c r="AL32" s="22">
        <v>3.2888721496165063E-2</v>
      </c>
      <c r="AM32" s="22">
        <v>2.8843039908195367E-2</v>
      </c>
      <c r="AN32" s="22">
        <v>2.3508826348185297E-2</v>
      </c>
      <c r="AO32" s="22">
        <v>1.727558717854083E-2</v>
      </c>
      <c r="AP32" s="22">
        <v>9.7904355801925469E-3</v>
      </c>
      <c r="AQ32" s="22">
        <v>1.8178580442596015E-3</v>
      </c>
      <c r="AR32" s="22">
        <v>-3.3449229627590116E-3</v>
      </c>
      <c r="AS32" s="22">
        <v>-1.1079319634054174E-3</v>
      </c>
      <c r="AT32" s="22">
        <v>4.8934098997499564E-3</v>
      </c>
      <c r="AU32" s="22">
        <v>1.5235248091937992E-2</v>
      </c>
      <c r="AV32" s="22">
        <v>1.6126764918219072E-2</v>
      </c>
      <c r="AW32" s="22">
        <v>2.1540722483505803E-2</v>
      </c>
      <c r="AX32" s="22">
        <v>2.7613026747848268E-2</v>
      </c>
      <c r="AY32" s="22">
        <v>2.6978579088403398E-2</v>
      </c>
      <c r="AZ32" s="22">
        <v>2.5079662791946955E-2</v>
      </c>
      <c r="BA32" s="22">
        <v>2.5870185947085789E-2</v>
      </c>
      <c r="BB32" s="22">
        <v>2.6893536703573639E-2</v>
      </c>
      <c r="BC32" s="22">
        <v>2.3026535336124088E-2</v>
      </c>
      <c r="BD32" s="22">
        <v>1.6693942729572031E-2</v>
      </c>
      <c r="BE32" s="22">
        <v>2.2786008601595631E-2</v>
      </c>
      <c r="BF32" s="22">
        <v>0</v>
      </c>
      <c r="BG32" s="11"/>
      <c r="BH32" s="10">
        <f t="shared" si="11"/>
        <v>924395.6958126293</v>
      </c>
      <c r="BI32" s="10">
        <f t="shared" si="12"/>
        <v>1008607.9901120187</v>
      </c>
      <c r="BJ32" s="10">
        <f t="shared" si="13"/>
        <v>1051565.1828372509</v>
      </c>
      <c r="BK32" s="10">
        <f t="shared" si="14"/>
        <v>1123201.45425723</v>
      </c>
      <c r="BL32" s="10">
        <f t="shared" si="15"/>
        <v>1161563.7658755947</v>
      </c>
      <c r="BM32" s="10">
        <f t="shared" si="16"/>
        <v>1173782.1060327021</v>
      </c>
      <c r="BN32" s="10">
        <f t="shared" si="17"/>
        <v>1197742.0105906178</v>
      </c>
      <c r="BO32" s="10">
        <f t="shared" si="18"/>
        <v>1193132.8236988811</v>
      </c>
      <c r="BP32" s="10" t="str">
        <f t="shared" si="19"/>
        <v>NaN</v>
      </c>
      <c r="BQ32" s="10">
        <f t="shared" si="20"/>
        <v>1200407.7038106835</v>
      </c>
      <c r="BR32" s="10">
        <f t="shared" si="21"/>
        <v>1107812.3558002675</v>
      </c>
      <c r="BS32" s="10">
        <f t="shared" si="22"/>
        <v>1039132.8388747955</v>
      </c>
      <c r="BT32" s="10">
        <f t="shared" si="23"/>
        <v>1076358.1491618387</v>
      </c>
      <c r="BU32" s="10">
        <f t="shared" si="24"/>
        <v>1063564.3834593929</v>
      </c>
      <c r="BV32" s="10">
        <f t="shared" si="25"/>
        <v>1003002.5756380995</v>
      </c>
      <c r="BW32" s="10">
        <f t="shared" si="26"/>
        <v>986211.45943622501</v>
      </c>
      <c r="BX32" s="10">
        <f t="shared" si="27"/>
        <v>1008348.8645350067</v>
      </c>
      <c r="BY32" s="10">
        <f t="shared" si="28"/>
        <v>993124.2889241263</v>
      </c>
      <c r="BZ32" s="10">
        <f t="shared" si="29"/>
        <v>999730.57493760239</v>
      </c>
      <c r="CA32" s="10">
        <f t="shared" si="30"/>
        <v>1028598.1662153793</v>
      </c>
      <c r="CB32" s="10">
        <f t="shared" si="31"/>
        <v>1025137.1319695</v>
      </c>
      <c r="CC32" s="12"/>
      <c r="CD32" s="13" t="s">
        <v>187</v>
      </c>
      <c r="CE32" s="13" t="s">
        <v>120</v>
      </c>
      <c r="CF32" s="13">
        <v>31</v>
      </c>
      <c r="CG32" s="13">
        <v>405152.78938107501</v>
      </c>
      <c r="CH32" s="13">
        <v>48.941142672212102</v>
      </c>
      <c r="CI32" s="13">
        <v>8278.3680000000004</v>
      </c>
      <c r="CJ32" s="11"/>
      <c r="CK32" s="13" t="s">
        <v>188</v>
      </c>
      <c r="CL32" s="13" t="s">
        <v>120</v>
      </c>
      <c r="CM32" s="14">
        <v>1061387.0537697801</v>
      </c>
      <c r="CN32" s="13">
        <v>31</v>
      </c>
      <c r="CO32" s="14">
        <v>128.21211713880899</v>
      </c>
      <c r="CP32" s="14">
        <v>8278.3677350922299</v>
      </c>
      <c r="CQ32" s="11"/>
      <c r="CT32" s="10"/>
      <c r="DI32" s="8">
        <v>1250000</v>
      </c>
      <c r="DM32" s="8">
        <v>1060000</v>
      </c>
      <c r="DP32" s="8">
        <f t="shared" si="44"/>
        <v>3233849.7727569756</v>
      </c>
      <c r="DT32" s="8">
        <f t="shared" si="43"/>
        <v>558032.50395512767</v>
      </c>
      <c r="DZ32" s="8">
        <f t="shared" si="4"/>
        <v>6101882.2767121028</v>
      </c>
      <c r="EA32" s="8">
        <f t="shared" si="32"/>
        <v>4665224.6040716218</v>
      </c>
      <c r="EB32" s="8">
        <f t="shared" si="33"/>
        <v>5.7827573978830628E-2</v>
      </c>
      <c r="EC32" s="8">
        <f t="shared" si="5"/>
        <v>563.54401656930577</v>
      </c>
      <c r="ED32" s="12"/>
      <c r="FN32" s="12"/>
    </row>
    <row r="33" spans="1:180" x14ac:dyDescent="0.3">
      <c r="A33" s="13">
        <v>32</v>
      </c>
      <c r="B33" s="13" t="s">
        <v>189</v>
      </c>
      <c r="C33" s="13" t="s">
        <v>190</v>
      </c>
      <c r="D33" s="13" t="s">
        <v>148</v>
      </c>
      <c r="F33" s="13">
        <f t="shared" si="41"/>
        <v>10</v>
      </c>
      <c r="G33" s="13">
        <f t="shared" si="0"/>
        <v>32.440503985382094</v>
      </c>
      <c r="H33" s="13">
        <f>(2*EA33)/$F33/$CI33</f>
        <v>89.12041672031161</v>
      </c>
      <c r="I33" s="13">
        <f t="shared" si="7"/>
        <v>0.36400754371684302</v>
      </c>
      <c r="J33" s="13">
        <f t="shared" si="1"/>
        <v>4</v>
      </c>
      <c r="K33" s="13">
        <f t="shared" si="8"/>
        <v>5</v>
      </c>
      <c r="M33" s="14">
        <f t="shared" si="9"/>
        <v>820815.44211545936</v>
      </c>
      <c r="N33" s="14">
        <f t="shared" si="10"/>
        <v>803777.02294212859</v>
      </c>
      <c r="P33" s="14">
        <v>328438.94500625803</v>
      </c>
      <c r="Q33" s="14">
        <v>398977.045736322</v>
      </c>
      <c r="R33" s="14">
        <v>487385.99476433801</v>
      </c>
      <c r="S33" s="14">
        <v>584813.02094364597</v>
      </c>
      <c r="T33" s="14">
        <v>694734.58098898805</v>
      </c>
      <c r="U33" s="14">
        <v>809994.23651146598</v>
      </c>
      <c r="V33" s="14">
        <v>904803.02838927601</v>
      </c>
      <c r="W33" s="14">
        <v>877572.03716321802</v>
      </c>
      <c r="X33" s="14">
        <v>783737.19396519405</v>
      </c>
      <c r="Y33" s="14">
        <v>743772.59143836505</v>
      </c>
      <c r="Z33" s="14">
        <v>707532.761912719</v>
      </c>
      <c r="AA33" s="14">
        <v>678653.56655897095</v>
      </c>
      <c r="AB33" s="14">
        <v>670613.90750879596</v>
      </c>
      <c r="AC33" s="14">
        <v>663794.74822989199</v>
      </c>
      <c r="AD33" s="14">
        <v>675221.91677828098</v>
      </c>
      <c r="AE33" s="14">
        <v>689317.06541604595</v>
      </c>
      <c r="AF33" s="14">
        <v>718884.538822214</v>
      </c>
      <c r="AG33" s="14">
        <v>738441.69901326403</v>
      </c>
      <c r="AH33" s="14">
        <v>794081.44116327201</v>
      </c>
      <c r="AI33" s="14">
        <v>823612.01436847402</v>
      </c>
      <c r="AJ33" s="14">
        <v>856168.04357716499</v>
      </c>
      <c r="AL33" s="23">
        <v>3.2888721496165063E-2</v>
      </c>
      <c r="AM33" s="23">
        <v>2.8843039908195367E-2</v>
      </c>
      <c r="AN33" s="23">
        <v>2.3508826348185297E-2</v>
      </c>
      <c r="AO33" s="23">
        <v>1.727558717854083E-2</v>
      </c>
      <c r="AP33" s="23">
        <v>9.7904355801925469E-3</v>
      </c>
      <c r="AQ33" s="23">
        <v>1.8178580442596015E-3</v>
      </c>
      <c r="AR33" s="23">
        <v>-3.3449229627590116E-3</v>
      </c>
      <c r="AS33" s="23">
        <v>-1.1079319634054174E-3</v>
      </c>
      <c r="AT33" s="23">
        <v>4.8934098997499564E-3</v>
      </c>
      <c r="AU33" s="23">
        <v>1.5235248091937992E-2</v>
      </c>
      <c r="AV33" s="23">
        <v>1.6126764918219072E-2</v>
      </c>
      <c r="AW33" s="23">
        <v>2.1540722483505803E-2</v>
      </c>
      <c r="AX33" s="23">
        <v>2.7613026747848268E-2</v>
      </c>
      <c r="AY33" s="23">
        <v>2.6978579088403398E-2</v>
      </c>
      <c r="AZ33" s="23">
        <v>2.5079662791946955E-2</v>
      </c>
      <c r="BA33" s="23">
        <v>2.5870185947085789E-2</v>
      </c>
      <c r="BB33" s="23">
        <v>2.6893536703573639E-2</v>
      </c>
      <c r="BC33" s="23">
        <v>2.3026535336124088E-2</v>
      </c>
      <c r="BD33" s="23">
        <v>1.6693942729572031E-2</v>
      </c>
      <c r="BE33" s="23">
        <v>2.2786008601595631E-2</v>
      </c>
      <c r="BF33" s="23">
        <v>0</v>
      </c>
      <c r="BH33" s="14">
        <f t="shared" si="11"/>
        <v>627372.31919355481</v>
      </c>
      <c r="BI33" s="14">
        <f t="shared" si="12"/>
        <v>684827.61575587315</v>
      </c>
      <c r="BJ33" s="14">
        <f t="shared" si="13"/>
        <v>740494.2747796434</v>
      </c>
      <c r="BK33" s="14">
        <f t="shared" si="14"/>
        <v>782480.66165912128</v>
      </c>
      <c r="BL33" s="14">
        <f t="shared" si="15"/>
        <v>811930.69989321241</v>
      </c>
      <c r="BM33" s="14">
        <f t="shared" si="16"/>
        <v>832364.3355907232</v>
      </c>
      <c r="BN33" s="14">
        <f t="shared" si="17"/>
        <v>863341.09444399399</v>
      </c>
      <c r="BO33" s="14">
        <f t="shared" si="18"/>
        <v>865015.94937463047</v>
      </c>
      <c r="BP33" s="14">
        <f t="shared" si="19"/>
        <v>831018.00841430156</v>
      </c>
      <c r="BQ33" s="14">
        <f t="shared" si="20"/>
        <v>878362.3959956707</v>
      </c>
      <c r="BR33" s="14">
        <f t="shared" si="21"/>
        <v>830281.69516219385</v>
      </c>
      <c r="BS33" s="14">
        <f t="shared" si="22"/>
        <v>822146.64947625436</v>
      </c>
      <c r="BT33" s="14">
        <f t="shared" si="23"/>
        <v>833891.14898603014</v>
      </c>
      <c r="BU33" s="14">
        <f t="shared" si="24"/>
        <v>799767.05052054231</v>
      </c>
      <c r="BV33" s="14">
        <f t="shared" si="25"/>
        <v>783415.63479169889</v>
      </c>
      <c r="BW33" s="14">
        <f t="shared" si="26"/>
        <v>783215.1375229893</v>
      </c>
      <c r="BX33" s="14">
        <f t="shared" si="27"/>
        <v>799393.89070673205</v>
      </c>
      <c r="BY33" s="14">
        <f t="shared" si="28"/>
        <v>790636.58901265846</v>
      </c>
      <c r="BZ33" s="14">
        <f t="shared" si="29"/>
        <v>820815.44211545936</v>
      </c>
      <c r="CA33" s="14">
        <f t="shared" si="30"/>
        <v>842378.84481225163</v>
      </c>
      <c r="CB33" s="14">
        <f t="shared" si="31"/>
        <v>856168.04357716499</v>
      </c>
      <c r="CD33" s="13" t="s">
        <v>189</v>
      </c>
      <c r="CE33" s="13" t="s">
        <v>151</v>
      </c>
      <c r="CF33" s="13">
        <v>32</v>
      </c>
      <c r="CG33" s="13">
        <v>176539.084593009</v>
      </c>
      <c r="CH33" s="13">
        <v>57.539883942165801</v>
      </c>
      <c r="CI33" s="13">
        <v>3068.1167999999998</v>
      </c>
      <c r="CK33" s="13" t="s">
        <v>189</v>
      </c>
      <c r="CL33" s="13" t="s">
        <v>190</v>
      </c>
      <c r="CM33" s="14">
        <v>276070.33103677601</v>
      </c>
      <c r="CN33" s="13">
        <v>32</v>
      </c>
      <c r="CO33" s="14">
        <v>89.980387927547895</v>
      </c>
      <c r="CP33" s="14">
        <v>3068.11670182026</v>
      </c>
      <c r="CT33" s="14"/>
      <c r="DF33" s="13">
        <v>2000</v>
      </c>
      <c r="DP33" s="13">
        <f t="shared" si="44"/>
        <v>1198524.7353671454</v>
      </c>
      <c r="DS33" s="13">
        <f>700000*$CP33/SUM($CP$33:$CP$34)</f>
        <v>380834.50437790499</v>
      </c>
      <c r="DT33" s="13">
        <f t="shared" si="43"/>
        <v>206817.20120811142</v>
      </c>
      <c r="DZ33" s="13">
        <f t="shared" si="4"/>
        <v>1788176.4409531618</v>
      </c>
      <c r="EA33" s="13">
        <f t="shared" si="32"/>
        <v>1367159.2388129446</v>
      </c>
      <c r="EB33" s="13">
        <f t="shared" si="33"/>
        <v>1.6946558576043123E-2</v>
      </c>
      <c r="EC33" s="13">
        <f t="shared" si="5"/>
        <v>445.60209786082549</v>
      </c>
    </row>
    <row r="34" spans="1:180" ht="15" thickBot="1" x14ac:dyDescent="0.35">
      <c r="A34" s="8">
        <v>33</v>
      </c>
      <c r="B34" s="8" t="s">
        <v>191</v>
      </c>
      <c r="C34" s="8" t="s">
        <v>192</v>
      </c>
      <c r="D34" s="8" t="s">
        <v>148</v>
      </c>
      <c r="F34" s="13">
        <f t="shared" si="41"/>
        <v>10</v>
      </c>
      <c r="G34" s="13">
        <f t="shared" ref="G34:G51" si="45">CO34-CH34</f>
        <v>31.643888912903805</v>
      </c>
      <c r="H34" s="13">
        <f>(2*EA34)/$F34/$CI34</f>
        <v>29.287806107271859</v>
      </c>
      <c r="I34" s="13">
        <f t="shared" si="7"/>
        <v>1.0804458619058857</v>
      </c>
      <c r="J34" s="13">
        <f t="shared" si="1"/>
        <v>2</v>
      </c>
      <c r="K34" s="13">
        <f t="shared" si="8"/>
        <v>10</v>
      </c>
      <c r="M34" s="14" t="str">
        <f t="shared" si="9"/>
        <v>NaN</v>
      </c>
      <c r="N34" s="14" t="str">
        <f t="shared" si="10"/>
        <v>NaN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L34" s="23">
        <v>3.2888721496165063E-2</v>
      </c>
      <c r="AM34" s="23">
        <v>2.8843039908195367E-2</v>
      </c>
      <c r="AN34" s="23">
        <v>2.3508826348185297E-2</v>
      </c>
      <c r="AO34" s="23">
        <v>1.727558717854083E-2</v>
      </c>
      <c r="AP34" s="23">
        <v>9.7904355801925469E-3</v>
      </c>
      <c r="AQ34" s="23">
        <v>1.8178580442596015E-3</v>
      </c>
      <c r="AR34" s="23">
        <v>-3.3449229627590116E-3</v>
      </c>
      <c r="AS34" s="23">
        <v>-1.1079319634054174E-3</v>
      </c>
      <c r="AT34" s="23">
        <v>4.8934098997499564E-3</v>
      </c>
      <c r="AU34" s="23">
        <v>1.5235248091937992E-2</v>
      </c>
      <c r="AV34" s="23">
        <v>1.6126764918219072E-2</v>
      </c>
      <c r="AW34" s="23">
        <v>2.1540722483505803E-2</v>
      </c>
      <c r="AX34" s="23">
        <v>2.7613026747848268E-2</v>
      </c>
      <c r="AY34" s="23">
        <v>2.6978579088403398E-2</v>
      </c>
      <c r="AZ34" s="23">
        <v>2.5079662791946955E-2</v>
      </c>
      <c r="BA34" s="23">
        <v>2.5870185947085789E-2</v>
      </c>
      <c r="BB34" s="23">
        <v>2.6893536703573639E-2</v>
      </c>
      <c r="BC34" s="23">
        <v>2.3026535336124088E-2</v>
      </c>
      <c r="BD34" s="23">
        <v>1.6693942729572031E-2</v>
      </c>
      <c r="BE34" s="23">
        <v>2.2786008601595631E-2</v>
      </c>
      <c r="BF34" s="23">
        <v>0</v>
      </c>
      <c r="BH34" s="14" t="str">
        <f t="shared" si="11"/>
        <v>NaN</v>
      </c>
      <c r="BI34" s="14" t="str">
        <f t="shared" si="12"/>
        <v>NaN</v>
      </c>
      <c r="BJ34" s="14" t="str">
        <f t="shared" si="13"/>
        <v>NaN</v>
      </c>
      <c r="BK34" s="14" t="str">
        <f t="shared" si="14"/>
        <v>NaN</v>
      </c>
      <c r="BL34" s="14" t="str">
        <f t="shared" si="15"/>
        <v>NaN</v>
      </c>
      <c r="BM34" s="14" t="str">
        <f t="shared" si="16"/>
        <v>NaN</v>
      </c>
      <c r="BN34" s="14" t="str">
        <f t="shared" si="17"/>
        <v>NaN</v>
      </c>
      <c r="BO34" s="14" t="str">
        <f t="shared" si="18"/>
        <v>NaN</v>
      </c>
      <c r="BP34" s="14" t="str">
        <f t="shared" si="19"/>
        <v>NaN</v>
      </c>
      <c r="BQ34" s="14" t="str">
        <f t="shared" si="20"/>
        <v>NaN</v>
      </c>
      <c r="BR34" s="14" t="str">
        <f t="shared" si="21"/>
        <v>NaN</v>
      </c>
      <c r="BS34" s="14" t="str">
        <f t="shared" si="22"/>
        <v>NaN</v>
      </c>
      <c r="BT34" s="14" t="str">
        <f t="shared" si="23"/>
        <v>NaN</v>
      </c>
      <c r="BU34" s="14" t="str">
        <f t="shared" si="24"/>
        <v>NaN</v>
      </c>
      <c r="BV34" s="14" t="str">
        <f t="shared" si="25"/>
        <v>NaN</v>
      </c>
      <c r="BW34" s="14" t="str">
        <f t="shared" si="26"/>
        <v>NaN</v>
      </c>
      <c r="BX34" s="14" t="str">
        <f t="shared" si="27"/>
        <v>NaN</v>
      </c>
      <c r="BY34" s="14" t="str">
        <f t="shared" si="28"/>
        <v>NaN</v>
      </c>
      <c r="BZ34" s="14" t="str">
        <f t="shared" si="29"/>
        <v>NaN</v>
      </c>
      <c r="CA34" s="14" t="str">
        <f t="shared" si="30"/>
        <v>NaN</v>
      </c>
      <c r="CB34" s="14" t="str">
        <f t="shared" si="31"/>
        <v>NaN</v>
      </c>
      <c r="CD34" s="13" t="s">
        <v>193</v>
      </c>
      <c r="CE34" s="13" t="s">
        <v>192</v>
      </c>
      <c r="CF34" s="13">
        <v>33</v>
      </c>
      <c r="CG34" s="13">
        <v>176456.16935829</v>
      </c>
      <c r="CH34" s="13">
        <v>68.625467063996197</v>
      </c>
      <c r="CI34" s="13">
        <v>2571.2928000000002</v>
      </c>
      <c r="CK34" s="13" t="s">
        <v>193</v>
      </c>
      <c r="CL34" s="13" t="s">
        <v>192</v>
      </c>
      <c r="CM34" s="14">
        <v>257821.864833742</v>
      </c>
      <c r="CN34" s="13">
        <v>33</v>
      </c>
      <c r="CO34" s="14">
        <v>100.2693559769</v>
      </c>
      <c r="CP34" s="14">
        <v>2571.2927177186298</v>
      </c>
      <c r="CT34" s="14"/>
      <c r="DS34" s="13">
        <f>700000*$CP34/SUM($CP$33:$CP$34)</f>
        <v>319165.49562209501</v>
      </c>
      <c r="DT34" s="13">
        <f t="shared" si="43"/>
        <v>173327.03252450121</v>
      </c>
      <c r="DZ34" s="13">
        <f t="shared" ref="DZ34:DZ51" si="46">SUM(CR34:DV34)</f>
        <v>492492.52814659622</v>
      </c>
      <c r="EA34" s="13">
        <f t="shared" si="32"/>
        <v>376537.62485712086</v>
      </c>
      <c r="EB34" s="13">
        <f t="shared" si="33"/>
        <v>4.6673545660019522E-3</v>
      </c>
      <c r="EC34" s="13">
        <f t="shared" ref="EC34:EC51" si="47">EA34/CP34</f>
        <v>146.43903522240848</v>
      </c>
    </row>
    <row r="35" spans="1:180" s="15" customFormat="1" x14ac:dyDescent="0.3">
      <c r="A35" s="15">
        <v>34</v>
      </c>
      <c r="B35" s="15" t="s">
        <v>194</v>
      </c>
      <c r="C35" s="15" t="s">
        <v>195</v>
      </c>
      <c r="D35" s="15" t="s">
        <v>196</v>
      </c>
      <c r="F35" s="15">
        <f t="shared" si="41"/>
        <v>10</v>
      </c>
      <c r="G35" s="15">
        <f t="shared" si="45"/>
        <v>80.945142406673995</v>
      </c>
      <c r="H35" s="15">
        <f>(2*EA35)/$F35/$CI35</f>
        <v>50.495335837998475</v>
      </c>
      <c r="I35" s="15">
        <f t="shared" si="7"/>
        <v>1.6030221616183726</v>
      </c>
      <c r="J35" s="15">
        <f t="shared" si="1"/>
        <v>5</v>
      </c>
      <c r="K35" s="15">
        <f t="shared" si="8"/>
        <v>4</v>
      </c>
      <c r="M35" s="17">
        <f t="shared" si="9"/>
        <v>365263.84414420009</v>
      </c>
      <c r="N35" s="17">
        <f t="shared" si="10"/>
        <v>364461.25396562653</v>
      </c>
      <c r="O35" s="16"/>
      <c r="P35" s="17">
        <v>150770.49060516199</v>
      </c>
      <c r="Q35" s="17">
        <v>170657.689094072</v>
      </c>
      <c r="R35" s="17">
        <v>205342.92580967399</v>
      </c>
      <c r="S35" s="17">
        <v>263801.40281966201</v>
      </c>
      <c r="T35" s="17">
        <v>313189.07014915999</v>
      </c>
      <c r="U35" s="17">
        <v>370323.81302786601</v>
      </c>
      <c r="V35" s="17">
        <v>441556.60450061801</v>
      </c>
      <c r="W35" s="17">
        <v>433180.72046020901</v>
      </c>
      <c r="X35" s="17">
        <v>397641.73723428498</v>
      </c>
      <c r="Y35" s="17">
        <v>359902.75163127802</v>
      </c>
      <c r="Z35" s="17">
        <v>337424.91108213703</v>
      </c>
      <c r="AA35" s="17">
        <v>311263.56566286302</v>
      </c>
      <c r="AB35" s="17">
        <v>313095.28956233402</v>
      </c>
      <c r="AC35" s="17">
        <v>323380.09959139099</v>
      </c>
      <c r="AD35" s="17">
        <v>314819.033498645</v>
      </c>
      <c r="AE35" s="17">
        <v>315072.13073692197</v>
      </c>
      <c r="AF35" s="17">
        <v>303896.39134950499</v>
      </c>
      <c r="AG35" s="17">
        <v>305339.61844895402</v>
      </c>
      <c r="AH35" s="17">
        <v>317715.88838478999</v>
      </c>
      <c r="AI35" s="17">
        <v>337233.63910872501</v>
      </c>
      <c r="AJ35" s="17">
        <v>352851.97739213699</v>
      </c>
      <c r="AK35" s="16"/>
      <c r="AL35" s="24">
        <v>3.2888721496165063E-2</v>
      </c>
      <c r="AM35" s="24">
        <v>2.8843039908195367E-2</v>
      </c>
      <c r="AN35" s="24">
        <v>2.3508826348185297E-2</v>
      </c>
      <c r="AO35" s="24">
        <v>1.727558717854083E-2</v>
      </c>
      <c r="AP35" s="24">
        <v>9.7904355801925469E-3</v>
      </c>
      <c r="AQ35" s="24">
        <v>1.8178580442596015E-3</v>
      </c>
      <c r="AR35" s="24">
        <v>-3.3449229627590116E-3</v>
      </c>
      <c r="AS35" s="24">
        <v>-1.1079319634054174E-3</v>
      </c>
      <c r="AT35" s="24">
        <v>4.8934098997499564E-3</v>
      </c>
      <c r="AU35" s="24">
        <v>1.5235248091937992E-2</v>
      </c>
      <c r="AV35" s="24">
        <v>1.6126764918219072E-2</v>
      </c>
      <c r="AW35" s="24">
        <v>2.1540722483505803E-2</v>
      </c>
      <c r="AX35" s="24">
        <v>2.7613026747848268E-2</v>
      </c>
      <c r="AY35" s="24">
        <v>2.6978579088403398E-2</v>
      </c>
      <c r="AZ35" s="24">
        <v>2.5079662791946955E-2</v>
      </c>
      <c r="BA35" s="24">
        <v>2.5870185947085789E-2</v>
      </c>
      <c r="BB35" s="24">
        <v>2.6893536703573639E-2</v>
      </c>
      <c r="BC35" s="24">
        <v>2.3026535336124088E-2</v>
      </c>
      <c r="BD35" s="24">
        <v>1.6693942729572031E-2</v>
      </c>
      <c r="BE35" s="24">
        <v>2.2786008601595631E-2</v>
      </c>
      <c r="BF35" s="24">
        <v>0</v>
      </c>
      <c r="BG35" s="16"/>
      <c r="BH35" s="17">
        <f t="shared" si="11"/>
        <v>287996.3956622387</v>
      </c>
      <c r="BI35" s="17">
        <f t="shared" si="12"/>
        <v>292926.87281548214</v>
      </c>
      <c r="BJ35" s="17">
        <f t="shared" si="13"/>
        <v>311981.18649692996</v>
      </c>
      <c r="BK35" s="17">
        <f t="shared" si="14"/>
        <v>352966.65572161495</v>
      </c>
      <c r="BL35" s="17">
        <f t="shared" si="15"/>
        <v>366021.53956856579</v>
      </c>
      <c r="BM35" s="17">
        <f t="shared" si="16"/>
        <v>380551.26899659057</v>
      </c>
      <c r="BN35" s="17">
        <f t="shared" si="17"/>
        <v>421322.59754608886</v>
      </c>
      <c r="BO35" s="17">
        <f t="shared" si="18"/>
        <v>426982.87581146206</v>
      </c>
      <c r="BP35" s="17">
        <f t="shared" si="19"/>
        <v>421630.42290616839</v>
      </c>
      <c r="BQ35" s="17">
        <f t="shared" si="20"/>
        <v>425029.16467644635</v>
      </c>
      <c r="BR35" s="17">
        <f t="shared" si="21"/>
        <v>395964.31747677771</v>
      </c>
      <c r="BS35" s="17">
        <f t="shared" si="22"/>
        <v>377076.4794050756</v>
      </c>
      <c r="BT35" s="17">
        <f t="shared" si="23"/>
        <v>389325.94124857755</v>
      </c>
      <c r="BU35" s="17">
        <f t="shared" si="24"/>
        <v>389621.56470342411</v>
      </c>
      <c r="BV35" s="17">
        <f t="shared" si="25"/>
        <v>365263.84414420009</v>
      </c>
      <c r="BW35" s="17">
        <f t="shared" si="26"/>
        <v>357990.9370963258</v>
      </c>
      <c r="BX35" s="17">
        <f t="shared" si="27"/>
        <v>337930.37064147479</v>
      </c>
      <c r="BY35" s="17">
        <f t="shared" si="28"/>
        <v>326921.7796658735</v>
      </c>
      <c r="BZ35" s="17">
        <f t="shared" si="29"/>
        <v>328412.2935924991</v>
      </c>
      <c r="CA35" s="17">
        <f t="shared" si="30"/>
        <v>344917.84771020379</v>
      </c>
      <c r="CB35" s="17">
        <f t="shared" si="31"/>
        <v>352851.97739213699</v>
      </c>
      <c r="CC35" s="18"/>
      <c r="CD35" s="19" t="s">
        <v>194</v>
      </c>
      <c r="CE35" s="19" t="s">
        <v>195</v>
      </c>
      <c r="CF35" s="19">
        <v>34</v>
      </c>
      <c r="CG35" s="19">
        <v>1398389.6135424899</v>
      </c>
      <c r="CH35" s="19">
        <v>208.105435583879</v>
      </c>
      <c r="CI35" s="19">
        <v>6719.6207999999997</v>
      </c>
      <c r="CJ35" s="16"/>
      <c r="CK35" s="19" t="s">
        <v>194</v>
      </c>
      <c r="CL35" s="19" t="s">
        <v>195</v>
      </c>
      <c r="CM35" s="20">
        <v>1942310.2139634099</v>
      </c>
      <c r="CN35" s="19">
        <v>34</v>
      </c>
      <c r="CO35" s="20">
        <v>289.05057799055299</v>
      </c>
      <c r="CP35" s="20">
        <v>6719.62058497214</v>
      </c>
      <c r="CQ35" s="16"/>
      <c r="CS35" s="15">
        <v>615000</v>
      </c>
      <c r="CT35" s="17"/>
      <c r="CZ35" s="15">
        <v>672000</v>
      </c>
      <c r="DG35" s="15">
        <v>175000</v>
      </c>
      <c r="DJ35" s="15">
        <v>90000</v>
      </c>
      <c r="DK35" s="15">
        <v>667000</v>
      </c>
      <c r="DY35" s="15">
        <v>850000</v>
      </c>
      <c r="DZ35" s="15">
        <f t="shared" si="46"/>
        <v>2219000</v>
      </c>
      <c r="EA35" s="15">
        <f t="shared" si="32"/>
        <v>1696547.5449999999</v>
      </c>
      <c r="EB35" s="15">
        <f t="shared" si="33"/>
        <v>2.1029475961664722E-2</v>
      </c>
      <c r="EC35" s="15">
        <f t="shared" si="47"/>
        <v>252.47668726924616</v>
      </c>
      <c r="ED35" s="18"/>
      <c r="FN35" s="18"/>
    </row>
    <row r="36" spans="1:180" ht="15.6" x14ac:dyDescent="0.3">
      <c r="A36" s="8">
        <v>35</v>
      </c>
      <c r="B36" s="13" t="s">
        <v>197</v>
      </c>
      <c r="C36" s="13" t="s">
        <v>198</v>
      </c>
      <c r="D36" s="13" t="s">
        <v>196</v>
      </c>
      <c r="F36" s="13">
        <f t="shared" si="41"/>
        <v>10</v>
      </c>
      <c r="G36" s="13">
        <f t="shared" si="45"/>
        <v>60.063064507107093</v>
      </c>
      <c r="H36" s="13">
        <f>(2*EA36)/$F36/$CI36</f>
        <v>198.09933688651037</v>
      </c>
      <c r="I36" s="13">
        <f t="shared" si="7"/>
        <v>0.30319669642062846</v>
      </c>
      <c r="J36" s="13">
        <f t="shared" si="1"/>
        <v>4</v>
      </c>
      <c r="K36" s="13">
        <f t="shared" si="8"/>
        <v>5</v>
      </c>
      <c r="M36" s="14">
        <f t="shared" si="9"/>
        <v>123422.46839650477</v>
      </c>
      <c r="N36" s="14">
        <f t="shared" si="10"/>
        <v>135164.76071555144</v>
      </c>
      <c r="P36" s="14">
        <v>63380.590278389303</v>
      </c>
      <c r="Q36" s="14">
        <v>69208.099195501898</v>
      </c>
      <c r="R36" s="14">
        <v>77587.123747423393</v>
      </c>
      <c r="S36" s="14">
        <v>95126.569128750605</v>
      </c>
      <c r="T36" s="14">
        <v>117777.944598623</v>
      </c>
      <c r="U36" s="14">
        <v>151982.33331507101</v>
      </c>
      <c r="V36" s="14">
        <v>184686.604526768</v>
      </c>
      <c r="W36" s="14">
        <v>197032.55566328301</v>
      </c>
      <c r="X36" s="14">
        <v>182939.66345192501</v>
      </c>
      <c r="Y36" s="14">
        <v>159692.533923457</v>
      </c>
      <c r="Z36" s="14">
        <v>136536.52748188499</v>
      </c>
      <c r="AA36" s="14">
        <v>116014.96973895399</v>
      </c>
      <c r="AB36" s="14">
        <v>114342.099481308</v>
      </c>
      <c r="AC36" s="14">
        <v>102438.811753805</v>
      </c>
      <c r="AD36" s="14">
        <v>98652.303443597804</v>
      </c>
      <c r="AE36" s="14">
        <v>101086.961082462</v>
      </c>
      <c r="AF36" s="14">
        <v>83358.563104228801</v>
      </c>
      <c r="AG36" s="14">
        <v>82228.419185250401</v>
      </c>
      <c r="AH36" s="14">
        <v>93627.299847576898</v>
      </c>
      <c r="AI36" s="14">
        <v>109641.287812572</v>
      </c>
      <c r="AJ36" s="14">
        <v>121269.07090730401</v>
      </c>
      <c r="AL36" s="23">
        <v>3.2888721496165063E-2</v>
      </c>
      <c r="AM36" s="23">
        <v>2.8843039908195367E-2</v>
      </c>
      <c r="AN36" s="23">
        <v>2.3508826348185297E-2</v>
      </c>
      <c r="AO36" s="23">
        <v>1.727558717854083E-2</v>
      </c>
      <c r="AP36" s="23">
        <v>9.7904355801925469E-3</v>
      </c>
      <c r="AQ36" s="23">
        <v>1.8178580442596015E-3</v>
      </c>
      <c r="AR36" s="23">
        <v>-3.3449229627590116E-3</v>
      </c>
      <c r="AS36" s="23">
        <v>-1.1079319634054174E-3</v>
      </c>
      <c r="AT36" s="23">
        <v>4.8934098997499564E-3</v>
      </c>
      <c r="AU36" s="23">
        <v>1.5235248091937992E-2</v>
      </c>
      <c r="AV36" s="23">
        <v>1.6126764918219072E-2</v>
      </c>
      <c r="AW36" s="23">
        <v>2.1540722483505803E-2</v>
      </c>
      <c r="AX36" s="23">
        <v>2.7613026747848268E-2</v>
      </c>
      <c r="AY36" s="23">
        <v>2.6978579088403398E-2</v>
      </c>
      <c r="AZ36" s="23">
        <v>2.5079662791946955E-2</v>
      </c>
      <c r="BA36" s="23">
        <v>2.5870185947085789E-2</v>
      </c>
      <c r="BB36" s="23">
        <v>2.6893536703573639E-2</v>
      </c>
      <c r="BC36" s="23">
        <v>2.3026535336124088E-2</v>
      </c>
      <c r="BD36" s="23">
        <v>1.6693942729572031E-2</v>
      </c>
      <c r="BE36" s="23">
        <v>2.2786008601595631E-2</v>
      </c>
      <c r="BF36" s="23">
        <v>0</v>
      </c>
      <c r="BH36" s="14">
        <f t="shared" si="11"/>
        <v>121067.3354040031</v>
      </c>
      <c r="BI36" s="14">
        <f t="shared" si="12"/>
        <v>118792.84302078518</v>
      </c>
      <c r="BJ36" s="14">
        <f t="shared" si="13"/>
        <v>117879.50730789146</v>
      </c>
      <c r="BK36" s="14">
        <f t="shared" si="14"/>
        <v>127279.48607081309</v>
      </c>
      <c r="BL36" s="14">
        <f t="shared" si="15"/>
        <v>137646.13365555173</v>
      </c>
      <c r="BM36" s="14">
        <f t="shared" si="16"/>
        <v>156179.72102636826</v>
      </c>
      <c r="BN36" s="14">
        <f t="shared" si="17"/>
        <v>176223.4765782475</v>
      </c>
      <c r="BO36" s="14">
        <f t="shared" si="18"/>
        <v>194213.46166147877</v>
      </c>
      <c r="BP36" s="14">
        <f t="shared" si="19"/>
        <v>193975.93472966249</v>
      </c>
      <c r="BQ36" s="14">
        <f t="shared" si="20"/>
        <v>188589.78985548075</v>
      </c>
      <c r="BR36" s="14">
        <f t="shared" si="21"/>
        <v>160224.07101369454</v>
      </c>
      <c r="BS36" s="14">
        <f t="shared" si="22"/>
        <v>140544.93096321481</v>
      </c>
      <c r="BT36" s="14">
        <f t="shared" si="23"/>
        <v>142181.46036986605</v>
      </c>
      <c r="BU36" s="14">
        <f t="shared" si="24"/>
        <v>123422.46839650477</v>
      </c>
      <c r="BV36" s="14">
        <f t="shared" si="25"/>
        <v>114459.78722771136</v>
      </c>
      <c r="BW36" s="14">
        <f t="shared" si="26"/>
        <v>114856.92448103805</v>
      </c>
      <c r="BX36" s="14">
        <f t="shared" si="27"/>
        <v>92694.059316932689</v>
      </c>
      <c r="BY36" s="14">
        <f t="shared" si="28"/>
        <v>88040.527710450508</v>
      </c>
      <c r="BZ36" s="14">
        <f t="shared" si="29"/>
        <v>96779.410189822258</v>
      </c>
      <c r="CA36" s="14">
        <f t="shared" si="30"/>
        <v>112139.57513975928</v>
      </c>
      <c r="CB36" s="14">
        <f t="shared" si="31"/>
        <v>121269.07090730401</v>
      </c>
      <c r="CD36" s="13" t="s">
        <v>197</v>
      </c>
      <c r="CE36" s="13" t="s">
        <v>198</v>
      </c>
      <c r="CF36" s="13">
        <v>35</v>
      </c>
      <c r="CG36" s="13">
        <v>310756.863104455</v>
      </c>
      <c r="CH36" s="13">
        <v>56.7990815666979</v>
      </c>
      <c r="CI36" s="13">
        <v>5471.16</v>
      </c>
      <c r="CK36" s="13" t="s">
        <v>197</v>
      </c>
      <c r="CL36" s="13" t="s">
        <v>198</v>
      </c>
      <c r="CM36" s="14">
        <v>639371.47865327401</v>
      </c>
      <c r="CN36" s="13">
        <v>35</v>
      </c>
      <c r="CO36" s="14">
        <v>116.86214607380499</v>
      </c>
      <c r="CP36" s="14">
        <v>5471.15982492288</v>
      </c>
      <c r="CT36" s="14"/>
      <c r="CV36" s="13">
        <v>4000000</v>
      </c>
      <c r="DG36" s="13">
        <v>1003000</v>
      </c>
      <c r="DI36" s="13">
        <v>1325000</v>
      </c>
      <c r="DJ36" s="13">
        <v>760000</v>
      </c>
      <c r="DY36" s="21">
        <v>9500</v>
      </c>
      <c r="DZ36" s="13">
        <f t="shared" si="46"/>
        <v>7088000</v>
      </c>
      <c r="EA36" s="13">
        <f t="shared" si="32"/>
        <v>5419165.8399999999</v>
      </c>
      <c r="EB36" s="13">
        <f t="shared" si="33"/>
        <v>6.7173017402559501E-2</v>
      </c>
      <c r="EC36" s="13">
        <f t="shared" si="47"/>
        <v>990.49671612844668</v>
      </c>
      <c r="EI36" s="13">
        <v>27384615</v>
      </c>
      <c r="ET36" s="13">
        <v>7658450</v>
      </c>
      <c r="EW36" s="13">
        <v>21015965</v>
      </c>
      <c r="EX36" s="13">
        <v>11273117</v>
      </c>
      <c r="FM36" s="13">
        <v>700000</v>
      </c>
      <c r="FO36" s="13">
        <f t="shared" ref="FO36:FO44" si="48">FA36+FB36</f>
        <v>0</v>
      </c>
      <c r="FP36" s="13">
        <f t="shared" ref="FP36:FP44" si="49">FC36</f>
        <v>0</v>
      </c>
      <c r="FQ36" s="13">
        <f t="shared" ref="FQ36:FQ44" si="50">FD36+FE36</f>
        <v>0</v>
      </c>
      <c r="FR36" s="13">
        <f t="shared" ref="FR36:FR44" si="51">FF36</f>
        <v>0</v>
      </c>
      <c r="FS36" s="13">
        <f t="shared" ref="FS36:FS44" si="52">FG36+FH36</f>
        <v>0</v>
      </c>
      <c r="FT36" s="13">
        <f t="shared" ref="FT36:FW44" si="53">FI36</f>
        <v>0</v>
      </c>
      <c r="FU36" s="13">
        <f t="shared" si="53"/>
        <v>0</v>
      </c>
      <c r="FV36" s="13">
        <f t="shared" si="53"/>
        <v>0</v>
      </c>
      <c r="FW36" s="13">
        <f t="shared" si="53"/>
        <v>0</v>
      </c>
      <c r="FX36" s="13">
        <f t="shared" ref="FX36:FX44" si="54">SUM(EE36:FJ36)</f>
        <v>67332147</v>
      </c>
    </row>
    <row r="37" spans="1:180" s="8" customFormat="1" x14ac:dyDescent="0.3">
      <c r="A37" s="8">
        <v>36</v>
      </c>
      <c r="B37" s="8" t="s">
        <v>199</v>
      </c>
      <c r="C37" s="8" t="s">
        <v>200</v>
      </c>
      <c r="D37" s="8" t="s">
        <v>196</v>
      </c>
      <c r="F37" s="8">
        <f t="shared" si="41"/>
        <v>10</v>
      </c>
      <c r="G37" s="8">
        <f t="shared" si="45"/>
        <v>56.901601459442105</v>
      </c>
      <c r="H37" s="8">
        <f>(2*EA37)/$F37/$CI37</f>
        <v>220.08886042220843</v>
      </c>
      <c r="I37" s="8">
        <f t="shared" si="7"/>
        <v>0.25853921616152981</v>
      </c>
      <c r="J37" s="8">
        <f t="shared" si="1"/>
        <v>4</v>
      </c>
      <c r="K37" s="8">
        <f t="shared" si="8"/>
        <v>5</v>
      </c>
      <c r="M37" s="10">
        <f t="shared" si="9"/>
        <v>296941.25276967546</v>
      </c>
      <c r="N37" s="10">
        <f t="shared" si="10"/>
        <v>296563.72033959778</v>
      </c>
      <c r="O37" s="11"/>
      <c r="P37" s="10">
        <v>135723.68003704801</v>
      </c>
      <c r="Q37" s="10">
        <v>144333.220898106</v>
      </c>
      <c r="R37" s="10">
        <v>161767.27120270199</v>
      </c>
      <c r="S37" s="10">
        <v>202386.270300381</v>
      </c>
      <c r="T37" s="10">
        <v>254445.00566241401</v>
      </c>
      <c r="U37" s="10">
        <v>310430.41675882897</v>
      </c>
      <c r="V37" s="10">
        <v>365319.070546659</v>
      </c>
      <c r="W37" s="10">
        <v>367221.10987674602</v>
      </c>
      <c r="X37" s="10">
        <v>334057.12656638899</v>
      </c>
      <c r="Y37" s="10">
        <v>290961.803465417</v>
      </c>
      <c r="Z37" s="10">
        <v>280918.09486654802</v>
      </c>
      <c r="AA37" s="10">
        <v>261647.122836469</v>
      </c>
      <c r="AB37" s="10">
        <v>265378.31018312002</v>
      </c>
      <c r="AC37" s="10">
        <v>257493.72129991901</v>
      </c>
      <c r="AD37" s="10">
        <v>255932.142481424</v>
      </c>
      <c r="AE37" s="10">
        <v>234645.795234283</v>
      </c>
      <c r="AF37" s="10">
        <v>231572.90981934499</v>
      </c>
      <c r="AG37" s="10">
        <v>228186.606960915</v>
      </c>
      <c r="AH37" s="10">
        <v>248018.19644273099</v>
      </c>
      <c r="AI37" s="10">
        <v>269215.10172620701</v>
      </c>
      <c r="AJ37" s="10">
        <v>295588.53189186001</v>
      </c>
      <c r="AK37" s="11"/>
      <c r="AL37" s="22">
        <v>3.2888721496165063E-2</v>
      </c>
      <c r="AM37" s="22">
        <v>2.8843039908195367E-2</v>
      </c>
      <c r="AN37" s="22">
        <v>2.3508826348185297E-2</v>
      </c>
      <c r="AO37" s="22">
        <v>1.727558717854083E-2</v>
      </c>
      <c r="AP37" s="22">
        <v>9.7904355801925469E-3</v>
      </c>
      <c r="AQ37" s="22">
        <v>1.8178580442596015E-3</v>
      </c>
      <c r="AR37" s="22">
        <v>-3.3449229627590116E-3</v>
      </c>
      <c r="AS37" s="22">
        <v>-1.1079319634054174E-3</v>
      </c>
      <c r="AT37" s="22">
        <v>4.8934098997499564E-3</v>
      </c>
      <c r="AU37" s="22">
        <v>1.5235248091937992E-2</v>
      </c>
      <c r="AV37" s="22">
        <v>1.6126764918219072E-2</v>
      </c>
      <c r="AW37" s="22">
        <v>2.1540722483505803E-2</v>
      </c>
      <c r="AX37" s="22">
        <v>2.7613026747848268E-2</v>
      </c>
      <c r="AY37" s="22">
        <v>2.6978579088403398E-2</v>
      </c>
      <c r="AZ37" s="22">
        <v>2.5079662791946955E-2</v>
      </c>
      <c r="BA37" s="22">
        <v>2.5870185947085789E-2</v>
      </c>
      <c r="BB37" s="22">
        <v>2.6893536703573639E-2</v>
      </c>
      <c r="BC37" s="22">
        <v>2.3026535336124088E-2</v>
      </c>
      <c r="BD37" s="22">
        <v>1.6693942729572031E-2</v>
      </c>
      <c r="BE37" s="22">
        <v>2.2786008601595631E-2</v>
      </c>
      <c r="BF37" s="22">
        <v>0</v>
      </c>
      <c r="BG37" s="11"/>
      <c r="BH37" s="10">
        <f t="shared" si="11"/>
        <v>259254.51658208304</v>
      </c>
      <c r="BI37" s="10">
        <f t="shared" si="12"/>
        <v>247742.01072043582</v>
      </c>
      <c r="BJ37" s="10">
        <f t="shared" si="13"/>
        <v>245775.91366827587</v>
      </c>
      <c r="BK37" s="10">
        <f t="shared" si="14"/>
        <v>270793.12023496168</v>
      </c>
      <c r="BL37" s="10">
        <f t="shared" si="15"/>
        <v>297367.82533226284</v>
      </c>
      <c r="BM37" s="10">
        <f t="shared" si="16"/>
        <v>319003.7607001618</v>
      </c>
      <c r="BN37" s="10">
        <f t="shared" si="17"/>
        <v>348578.59256779804</v>
      </c>
      <c r="BO37" s="10">
        <f t="shared" si="18"/>
        <v>361966.99933290994</v>
      </c>
      <c r="BP37" s="10">
        <f t="shared" si="19"/>
        <v>354209.91903075797</v>
      </c>
      <c r="BQ37" s="10">
        <f t="shared" si="20"/>
        <v>343612.96688933403</v>
      </c>
      <c r="BR37" s="10">
        <f t="shared" si="21"/>
        <v>329654.2076397927</v>
      </c>
      <c r="BS37" s="10">
        <f t="shared" si="22"/>
        <v>316969.24024993385</v>
      </c>
      <c r="BT37" s="10">
        <f t="shared" si="23"/>
        <v>329991.1044443564</v>
      </c>
      <c r="BU37" s="10">
        <f t="shared" si="24"/>
        <v>310238.96251175721</v>
      </c>
      <c r="BV37" s="10">
        <f t="shared" si="25"/>
        <v>296941.25276967546</v>
      </c>
      <c r="BW37" s="10">
        <f t="shared" si="26"/>
        <v>266609.00767441257</v>
      </c>
      <c r="BX37" s="10">
        <f t="shared" si="27"/>
        <v>257507.23428556943</v>
      </c>
      <c r="BY37" s="10">
        <f t="shared" si="28"/>
        <v>244315.40205140741</v>
      </c>
      <c r="BZ37" s="10">
        <f t="shared" si="29"/>
        <v>256368.11920398645</v>
      </c>
      <c r="CA37" s="10">
        <f t="shared" si="30"/>
        <v>275349.43934981979</v>
      </c>
      <c r="CB37" s="10">
        <f t="shared" si="31"/>
        <v>295588.53189186001</v>
      </c>
      <c r="CC37" s="12"/>
      <c r="CD37" s="13" t="s">
        <v>199</v>
      </c>
      <c r="CE37" s="13" t="s">
        <v>200</v>
      </c>
      <c r="CF37" s="13">
        <v>36</v>
      </c>
      <c r="CG37" s="13">
        <v>141961.52004534</v>
      </c>
      <c r="CH37" s="13">
        <v>53.210672743225899</v>
      </c>
      <c r="CI37" s="13">
        <v>2667.9144000000001</v>
      </c>
      <c r="CJ37" s="11"/>
      <c r="CK37" s="13" t="s">
        <v>199</v>
      </c>
      <c r="CL37" s="13" t="s">
        <v>200</v>
      </c>
      <c r="CM37" s="14">
        <v>293770.11256140401</v>
      </c>
      <c r="CN37" s="13">
        <v>36</v>
      </c>
      <c r="CO37" s="14">
        <v>110.112274202668</v>
      </c>
      <c r="CP37" s="14">
        <v>2667.9143146267402</v>
      </c>
      <c r="CQ37" s="11"/>
      <c r="CT37" s="10"/>
      <c r="CV37" s="8">
        <v>3000000</v>
      </c>
      <c r="DG37" s="8">
        <v>175000</v>
      </c>
      <c r="DI37" s="8">
        <v>325000</v>
      </c>
      <c r="DM37" s="8">
        <v>340000</v>
      </c>
      <c r="DZ37" s="8">
        <f t="shared" si="46"/>
        <v>3840000</v>
      </c>
      <c r="EA37" s="8">
        <f t="shared" si="32"/>
        <v>2935891.1999999997</v>
      </c>
      <c r="EB37" s="8">
        <f t="shared" si="33"/>
        <v>3.6391702430280545E-2</v>
      </c>
      <c r="EC37" s="8">
        <f t="shared" si="47"/>
        <v>1100.4443373252604</v>
      </c>
      <c r="ED37" s="12"/>
      <c r="EI37" s="8">
        <v>9538462</v>
      </c>
      <c r="EU37" s="8">
        <v>2667550</v>
      </c>
      <c r="EW37" s="8">
        <v>6830187</v>
      </c>
      <c r="FA37" s="8">
        <v>6061143</v>
      </c>
      <c r="FN37" s="12"/>
      <c r="FO37" s="8">
        <f t="shared" si="48"/>
        <v>6061143</v>
      </c>
      <c r="FP37" s="8">
        <f t="shared" si="49"/>
        <v>0</v>
      </c>
      <c r="FQ37" s="8">
        <f t="shared" si="50"/>
        <v>0</v>
      </c>
      <c r="FR37" s="8">
        <f t="shared" si="51"/>
        <v>0</v>
      </c>
      <c r="FS37" s="8">
        <f t="shared" si="52"/>
        <v>0</v>
      </c>
      <c r="FT37" s="8">
        <f t="shared" si="53"/>
        <v>0</v>
      </c>
      <c r="FU37" s="8">
        <f t="shared" si="53"/>
        <v>0</v>
      </c>
      <c r="FV37" s="8">
        <f t="shared" si="53"/>
        <v>0</v>
      </c>
      <c r="FW37" s="8">
        <f t="shared" si="53"/>
        <v>0</v>
      </c>
      <c r="FX37" s="8">
        <f t="shared" si="54"/>
        <v>25097342</v>
      </c>
    </row>
    <row r="38" spans="1:180" x14ac:dyDescent="0.3">
      <c r="A38" s="8">
        <v>37</v>
      </c>
      <c r="B38" s="13" t="s">
        <v>201</v>
      </c>
      <c r="C38" s="13" t="s">
        <v>202</v>
      </c>
      <c r="D38" s="13" t="s">
        <v>196</v>
      </c>
      <c r="F38" s="13">
        <f t="shared" si="41"/>
        <v>10</v>
      </c>
      <c r="G38" s="13">
        <f t="shared" si="45"/>
        <v>65.193233409825481</v>
      </c>
      <c r="H38" s="13">
        <f>(2*EA38)/$F38/$CI38</f>
        <v>0</v>
      </c>
      <c r="I38" s="13">
        <f t="shared" si="7"/>
        <v>1</v>
      </c>
      <c r="J38" s="13">
        <f t="shared" si="1"/>
        <v>0</v>
      </c>
      <c r="K38" s="13" t="str">
        <f t="shared" si="8"/>
        <v>NaN</v>
      </c>
      <c r="M38" s="14">
        <f t="shared" si="9"/>
        <v>523425.62298006431</v>
      </c>
      <c r="N38" s="14">
        <f t="shared" si="10"/>
        <v>525254.45062970533</v>
      </c>
      <c r="P38" s="14">
        <v>219097.65542683899</v>
      </c>
      <c r="Q38" s="14">
        <v>245626.157860309</v>
      </c>
      <c r="R38" s="14">
        <v>277697.36034732702</v>
      </c>
      <c r="S38" s="14">
        <v>342565.76237481699</v>
      </c>
      <c r="T38" s="14">
        <v>412659.24157814198</v>
      </c>
      <c r="U38" s="14">
        <v>496071.42425043898</v>
      </c>
      <c r="V38" s="14">
        <v>590125.38680179499</v>
      </c>
      <c r="W38" s="14">
        <v>593702.37431705301</v>
      </c>
      <c r="X38" s="14">
        <v>560427.99964869197</v>
      </c>
      <c r="Y38" s="14">
        <v>508193.54855628201</v>
      </c>
      <c r="Z38" s="14">
        <v>493655.691699669</v>
      </c>
      <c r="AA38" s="14">
        <v>460515.856943405</v>
      </c>
      <c r="AB38" s="14">
        <v>484393.58194234897</v>
      </c>
      <c r="AC38" s="14">
        <v>486495.55412448599</v>
      </c>
      <c r="AD38" s="14">
        <v>479509.89635458001</v>
      </c>
      <c r="AE38" s="14">
        <v>469535.17522840301</v>
      </c>
      <c r="AF38" s="14">
        <v>470709.86150655698</v>
      </c>
      <c r="AG38" s="14">
        <v>477486.99497398903</v>
      </c>
      <c r="AH38" s="14">
        <v>484655.92674626998</v>
      </c>
      <c r="AI38" s="14">
        <v>499075.69404417201</v>
      </c>
      <c r="AJ38" s="14">
        <v>513646.29099542397</v>
      </c>
      <c r="AL38" s="23">
        <v>3.2888721496165063E-2</v>
      </c>
      <c r="AM38" s="23">
        <v>2.8843039908195367E-2</v>
      </c>
      <c r="AN38" s="23">
        <v>2.3508826348185297E-2</v>
      </c>
      <c r="AO38" s="23">
        <v>1.727558717854083E-2</v>
      </c>
      <c r="AP38" s="23">
        <v>9.7904355801925469E-3</v>
      </c>
      <c r="AQ38" s="23">
        <v>1.8178580442596015E-3</v>
      </c>
      <c r="AR38" s="23">
        <v>-3.3449229627590116E-3</v>
      </c>
      <c r="AS38" s="23">
        <v>-1.1079319634054174E-3</v>
      </c>
      <c r="AT38" s="23">
        <v>4.8934098997499564E-3</v>
      </c>
      <c r="AU38" s="23">
        <v>1.5235248091937992E-2</v>
      </c>
      <c r="AV38" s="23">
        <v>1.6126764918219072E-2</v>
      </c>
      <c r="AW38" s="23">
        <v>2.1540722483505803E-2</v>
      </c>
      <c r="AX38" s="23">
        <v>2.7613026747848268E-2</v>
      </c>
      <c r="AY38" s="23">
        <v>2.6978579088403398E-2</v>
      </c>
      <c r="AZ38" s="23">
        <v>2.5079662791946955E-2</v>
      </c>
      <c r="BA38" s="23">
        <v>2.5870185947085789E-2</v>
      </c>
      <c r="BB38" s="23">
        <v>2.6893536703573639E-2</v>
      </c>
      <c r="BC38" s="23">
        <v>2.3026535336124088E-2</v>
      </c>
      <c r="BD38" s="23">
        <v>1.6693942729572031E-2</v>
      </c>
      <c r="BE38" s="23">
        <v>2.2786008601595631E-2</v>
      </c>
      <c r="BF38" s="23">
        <v>0</v>
      </c>
      <c r="BH38" s="14">
        <f t="shared" si="11"/>
        <v>418512.50074009114</v>
      </c>
      <c r="BI38" s="14">
        <f t="shared" si="12"/>
        <v>421607.15222178388</v>
      </c>
      <c r="BJ38" s="14">
        <f t="shared" si="13"/>
        <v>421910.57532960811</v>
      </c>
      <c r="BK38" s="14">
        <f t="shared" si="14"/>
        <v>458353.48189116013</v>
      </c>
      <c r="BL38" s="14">
        <f t="shared" si="15"/>
        <v>482271.52642233856</v>
      </c>
      <c r="BM38" s="14">
        <f t="shared" si="16"/>
        <v>509771.72779662785</v>
      </c>
      <c r="BN38" s="14">
        <f t="shared" si="17"/>
        <v>563083.32456360012</v>
      </c>
      <c r="BO38" s="14">
        <f t="shared" si="18"/>
        <v>585207.82479116449</v>
      </c>
      <c r="BP38" s="14">
        <f t="shared" si="19"/>
        <v>594237.15464032174</v>
      </c>
      <c r="BQ38" s="14">
        <f t="shared" si="20"/>
        <v>600154.00954234879</v>
      </c>
      <c r="BR38" s="14">
        <f t="shared" si="21"/>
        <v>579299.37183803273</v>
      </c>
      <c r="BS38" s="14">
        <f t="shared" si="22"/>
        <v>557886.36127915699</v>
      </c>
      <c r="BT38" s="14">
        <f t="shared" si="23"/>
        <v>602330.96284551197</v>
      </c>
      <c r="BU38" s="14">
        <f t="shared" si="24"/>
        <v>586149.73295743205</v>
      </c>
      <c r="BV38" s="14">
        <f t="shared" si="25"/>
        <v>556343.83379305655</v>
      </c>
      <c r="BW38" s="14">
        <f t="shared" si="26"/>
        <v>533494.78097780189</v>
      </c>
      <c r="BX38" s="14">
        <f t="shared" si="27"/>
        <v>523425.62298006431</v>
      </c>
      <c r="BY38" s="14">
        <f t="shared" si="28"/>
        <v>511236.95954412513</v>
      </c>
      <c r="BZ38" s="14">
        <f t="shared" si="29"/>
        <v>500972.63097264909</v>
      </c>
      <c r="CA38" s="14">
        <f t="shared" si="30"/>
        <v>510447.63710150984</v>
      </c>
      <c r="CB38" s="14">
        <f t="shared" si="31"/>
        <v>513646.29099542397</v>
      </c>
      <c r="CD38" s="13" t="s">
        <v>201</v>
      </c>
      <c r="CE38" s="13" t="s">
        <v>202</v>
      </c>
      <c r="CF38" s="13">
        <v>37</v>
      </c>
      <c r="CG38" s="13">
        <v>204390.21405283801</v>
      </c>
      <c r="CH38" s="13">
        <v>77.183651981448506</v>
      </c>
      <c r="CI38" s="13">
        <v>2648.1024000000002</v>
      </c>
      <c r="CK38" s="13" t="s">
        <v>201</v>
      </c>
      <c r="CL38" s="13" t="s">
        <v>202</v>
      </c>
      <c r="CM38" s="14">
        <v>377028.55984424398</v>
      </c>
      <c r="CN38" s="13">
        <v>37</v>
      </c>
      <c r="CO38" s="14">
        <v>142.37688539127399</v>
      </c>
      <c r="CP38" s="14">
        <v>2648.1023152607199</v>
      </c>
      <c r="CT38" s="14"/>
      <c r="DZ38" s="13">
        <f t="shared" si="46"/>
        <v>0</v>
      </c>
      <c r="EA38" s="13">
        <f t="shared" si="32"/>
        <v>0</v>
      </c>
      <c r="EB38" s="13">
        <f t="shared" si="33"/>
        <v>0</v>
      </c>
      <c r="EC38" s="13">
        <f t="shared" si="47"/>
        <v>0</v>
      </c>
      <c r="FO38" s="13">
        <f t="shared" si="48"/>
        <v>0</v>
      </c>
      <c r="FP38" s="13">
        <f t="shared" si="49"/>
        <v>0</v>
      </c>
      <c r="FQ38" s="13">
        <f t="shared" si="50"/>
        <v>0</v>
      </c>
      <c r="FR38" s="13">
        <f t="shared" si="51"/>
        <v>0</v>
      </c>
      <c r="FS38" s="13">
        <f t="shared" si="52"/>
        <v>0</v>
      </c>
      <c r="FT38" s="13">
        <f t="shared" si="53"/>
        <v>0</v>
      </c>
      <c r="FU38" s="13">
        <f t="shared" si="53"/>
        <v>0</v>
      </c>
      <c r="FV38" s="13">
        <f t="shared" si="53"/>
        <v>0</v>
      </c>
      <c r="FW38" s="13">
        <f t="shared" si="53"/>
        <v>0</v>
      </c>
      <c r="FX38" s="13">
        <f t="shared" si="54"/>
        <v>0</v>
      </c>
    </row>
    <row r="39" spans="1:180" s="8" customFormat="1" ht="15" thickBot="1" x14ac:dyDescent="0.35">
      <c r="A39" s="8">
        <v>38</v>
      </c>
      <c r="B39" s="8" t="s">
        <v>203</v>
      </c>
      <c r="C39" s="8" t="s">
        <v>204</v>
      </c>
      <c r="D39" s="8" t="s">
        <v>196</v>
      </c>
      <c r="F39" s="8">
        <f t="shared" si="41"/>
        <v>10</v>
      </c>
      <c r="G39" s="8">
        <f t="shared" si="45"/>
        <v>55.705244852252804</v>
      </c>
      <c r="H39" s="8">
        <f>(2*EA39)/$F39/$CI39</f>
        <v>0</v>
      </c>
      <c r="I39" s="8">
        <f t="shared" si="7"/>
        <v>1</v>
      </c>
      <c r="J39" s="8">
        <f t="shared" si="1"/>
        <v>0</v>
      </c>
      <c r="K39" s="8" t="str">
        <f t="shared" si="8"/>
        <v>NaN</v>
      </c>
      <c r="M39" s="10">
        <f t="shared" si="9"/>
        <v>761029.6282091547</v>
      </c>
      <c r="N39" s="10">
        <f t="shared" si="10"/>
        <v>756806.73590189323</v>
      </c>
      <c r="O39" s="11"/>
      <c r="P39" s="10">
        <v>316582.25713882799</v>
      </c>
      <c r="Q39" s="10">
        <v>351255.85489291197</v>
      </c>
      <c r="R39" s="10">
        <v>405643.797991534</v>
      </c>
      <c r="S39" s="10">
        <v>486955.51642399398</v>
      </c>
      <c r="T39" s="10">
        <v>587713.79713291302</v>
      </c>
      <c r="U39" s="10">
        <v>721707.96379830199</v>
      </c>
      <c r="V39" s="10">
        <v>831531.13352915796</v>
      </c>
      <c r="W39" s="10">
        <v>869217.733985545</v>
      </c>
      <c r="X39" s="10">
        <v>802139.13305354898</v>
      </c>
      <c r="Y39" s="10">
        <v>729523.67063014896</v>
      </c>
      <c r="Z39" s="10">
        <v>706138.25535191596</v>
      </c>
      <c r="AA39" s="10">
        <v>662464.297172472</v>
      </c>
      <c r="AB39" s="10">
        <v>675861.59786618105</v>
      </c>
      <c r="AC39" s="10">
        <v>694342.98855810403</v>
      </c>
      <c r="AD39" s="10">
        <v>709176.207038605</v>
      </c>
      <c r="AE39" s="10">
        <v>678189.67960081098</v>
      </c>
      <c r="AF39" s="10">
        <v>684384.05605214601</v>
      </c>
      <c r="AG39" s="10">
        <v>690327.77154105599</v>
      </c>
      <c r="AH39" s="10">
        <v>712274.62865708803</v>
      </c>
      <c r="AI39" s="10">
        <v>740724.78586360998</v>
      </c>
      <c r="AJ39" s="10">
        <v>731122.38469622203</v>
      </c>
      <c r="AK39" s="11"/>
      <c r="AL39" s="22">
        <v>3.2888721496165063E-2</v>
      </c>
      <c r="AM39" s="22">
        <v>2.8843039908195367E-2</v>
      </c>
      <c r="AN39" s="22">
        <v>2.3508826348185297E-2</v>
      </c>
      <c r="AO39" s="22">
        <v>1.727558717854083E-2</v>
      </c>
      <c r="AP39" s="22">
        <v>9.7904355801925469E-3</v>
      </c>
      <c r="AQ39" s="22">
        <v>1.8178580442596015E-3</v>
      </c>
      <c r="AR39" s="22">
        <v>-3.3449229627590116E-3</v>
      </c>
      <c r="AS39" s="22">
        <v>-1.1079319634054174E-3</v>
      </c>
      <c r="AT39" s="22">
        <v>4.8934098997499564E-3</v>
      </c>
      <c r="AU39" s="22">
        <v>1.5235248091937992E-2</v>
      </c>
      <c r="AV39" s="22">
        <v>1.6126764918219072E-2</v>
      </c>
      <c r="AW39" s="22">
        <v>2.1540722483505803E-2</v>
      </c>
      <c r="AX39" s="22">
        <v>2.7613026747848268E-2</v>
      </c>
      <c r="AY39" s="22">
        <v>2.6978579088403398E-2</v>
      </c>
      <c r="AZ39" s="22">
        <v>2.5079662791946955E-2</v>
      </c>
      <c r="BA39" s="22">
        <v>2.5870185947085789E-2</v>
      </c>
      <c r="BB39" s="22">
        <v>2.6893536703573639E-2</v>
      </c>
      <c r="BC39" s="22">
        <v>2.3026535336124088E-2</v>
      </c>
      <c r="BD39" s="22">
        <v>1.6693942729572031E-2</v>
      </c>
      <c r="BE39" s="22">
        <v>2.2786008601595631E-2</v>
      </c>
      <c r="BF39" s="22">
        <v>0</v>
      </c>
      <c r="BG39" s="11"/>
      <c r="BH39" s="10">
        <f t="shared" si="11"/>
        <v>604724.09833411337</v>
      </c>
      <c r="BI39" s="10">
        <f t="shared" si="12"/>
        <v>602916.16321601521</v>
      </c>
      <c r="BJ39" s="10">
        <f t="shared" si="13"/>
        <v>616301.89057410252</v>
      </c>
      <c r="BK39" s="10">
        <f t="shared" si="14"/>
        <v>651547.18011438253</v>
      </c>
      <c r="BL39" s="10">
        <f t="shared" si="15"/>
        <v>686856.37321195495</v>
      </c>
      <c r="BM39" s="10">
        <f t="shared" si="16"/>
        <v>741639.80766671011</v>
      </c>
      <c r="BN39" s="10">
        <f t="shared" si="17"/>
        <v>793426.83032715949</v>
      </c>
      <c r="BO39" s="10">
        <f t="shared" si="18"/>
        <v>856781.17753987759</v>
      </c>
      <c r="BP39" s="10">
        <f t="shared" si="19"/>
        <v>850530.08834354009</v>
      </c>
      <c r="BQ39" s="10">
        <f t="shared" si="20"/>
        <v>861535.05338379333</v>
      </c>
      <c r="BR39" s="10">
        <f t="shared" si="21"/>
        <v>828645.25748249074</v>
      </c>
      <c r="BS39" s="10">
        <f t="shared" si="22"/>
        <v>802534.3550164093</v>
      </c>
      <c r="BT39" s="10">
        <f t="shared" si="23"/>
        <v>840416.51699979359</v>
      </c>
      <c r="BU39" s="10">
        <f t="shared" si="24"/>
        <v>836572.81936857407</v>
      </c>
      <c r="BV39" s="10">
        <f t="shared" si="25"/>
        <v>822810.56732752756</v>
      </c>
      <c r="BW39" s="10">
        <f t="shared" si="26"/>
        <v>770571.99048833631</v>
      </c>
      <c r="BX39" s="10">
        <f t="shared" si="27"/>
        <v>761029.6282091547</v>
      </c>
      <c r="BY39" s="10">
        <f t="shared" si="28"/>
        <v>739121.84986471967</v>
      </c>
      <c r="BZ39" s="10">
        <f t="shared" si="29"/>
        <v>736254.47456916771</v>
      </c>
      <c r="CA39" s="10">
        <f t="shared" si="30"/>
        <v>757602.94720571325</v>
      </c>
      <c r="CB39" s="10">
        <f t="shared" si="31"/>
        <v>731122.38469622203</v>
      </c>
      <c r="CC39" s="12"/>
      <c r="CD39" s="13" t="s">
        <v>203</v>
      </c>
      <c r="CE39" s="13" t="s">
        <v>204</v>
      </c>
      <c r="CF39" s="13">
        <v>38</v>
      </c>
      <c r="CG39" s="13">
        <v>164324.76065465799</v>
      </c>
      <c r="CH39" s="13">
        <v>72.278218326087199</v>
      </c>
      <c r="CI39" s="13">
        <v>2273.5032000000001</v>
      </c>
      <c r="CJ39" s="11"/>
      <c r="CK39" s="13" t="s">
        <v>203</v>
      </c>
      <c r="CL39" s="13" t="s">
        <v>204</v>
      </c>
      <c r="CM39" s="14">
        <v>290970.80377197202</v>
      </c>
      <c r="CN39" s="13">
        <v>38</v>
      </c>
      <c r="CO39" s="14">
        <v>127.98346317834</v>
      </c>
      <c r="CP39" s="14">
        <v>2273.5031272479</v>
      </c>
      <c r="CQ39" s="11"/>
      <c r="CT39" s="10"/>
      <c r="DZ39" s="8">
        <f t="shared" si="46"/>
        <v>0</v>
      </c>
      <c r="EA39" s="8">
        <f t="shared" si="32"/>
        <v>0</v>
      </c>
      <c r="EB39" s="8">
        <f t="shared" si="33"/>
        <v>0</v>
      </c>
      <c r="EC39" s="8">
        <f t="shared" si="47"/>
        <v>0</v>
      </c>
      <c r="ED39" s="12"/>
      <c r="FN39" s="12"/>
      <c r="FO39" s="8">
        <f t="shared" si="48"/>
        <v>0</v>
      </c>
      <c r="FP39" s="8">
        <f t="shared" si="49"/>
        <v>0</v>
      </c>
      <c r="FQ39" s="8">
        <f t="shared" si="50"/>
        <v>0</v>
      </c>
      <c r="FR39" s="8">
        <f t="shared" si="51"/>
        <v>0</v>
      </c>
      <c r="FS39" s="8">
        <f t="shared" si="52"/>
        <v>0</v>
      </c>
      <c r="FT39" s="8">
        <f t="shared" si="53"/>
        <v>0</v>
      </c>
      <c r="FU39" s="8">
        <f t="shared" si="53"/>
        <v>0</v>
      </c>
      <c r="FV39" s="8">
        <f t="shared" si="53"/>
        <v>0</v>
      </c>
      <c r="FW39" s="8">
        <f t="shared" si="53"/>
        <v>0</v>
      </c>
      <c r="FX39" s="8">
        <f t="shared" si="54"/>
        <v>0</v>
      </c>
    </row>
    <row r="40" spans="1:180" s="19" customFormat="1" x14ac:dyDescent="0.3">
      <c r="A40" s="15">
        <v>39</v>
      </c>
      <c r="B40" s="19" t="s">
        <v>205</v>
      </c>
      <c r="C40" s="19" t="s">
        <v>206</v>
      </c>
      <c r="D40" s="19" t="s">
        <v>207</v>
      </c>
      <c r="F40" s="19">
        <f t="shared" si="41"/>
        <v>10</v>
      </c>
      <c r="G40" s="19">
        <f t="shared" si="45"/>
        <v>37.997188049378408</v>
      </c>
      <c r="H40" s="19">
        <f>(2*EA40)/$F40/$CI40</f>
        <v>111.07447658870667</v>
      </c>
      <c r="I40" s="19">
        <f t="shared" si="7"/>
        <v>0.34208748234823294</v>
      </c>
      <c r="J40" s="19">
        <f t="shared" si="1"/>
        <v>10</v>
      </c>
      <c r="K40" s="19">
        <f t="shared" si="8"/>
        <v>2</v>
      </c>
      <c r="M40" s="20">
        <f t="shared" si="9"/>
        <v>636134.40322840307</v>
      </c>
      <c r="N40" s="20">
        <f t="shared" si="10"/>
        <v>620875.66651799297</v>
      </c>
      <c r="O40" s="16"/>
      <c r="P40" s="20">
        <v>260965.47536202401</v>
      </c>
      <c r="Q40" s="20">
        <v>295963.67656976997</v>
      </c>
      <c r="R40" s="20">
        <v>334242.558457907</v>
      </c>
      <c r="S40" s="20">
        <v>405792.08536275098</v>
      </c>
      <c r="T40" s="20">
        <v>496259.15204700199</v>
      </c>
      <c r="U40" s="20">
        <v>605854.04038545198</v>
      </c>
      <c r="V40" s="20">
        <v>678024.13647832198</v>
      </c>
      <c r="W40" s="20">
        <v>602223.40064857097</v>
      </c>
      <c r="X40" s="20">
        <v>605281.20101585099</v>
      </c>
      <c r="Y40" s="20">
        <v>588313.99886861397</v>
      </c>
      <c r="Z40" s="20">
        <v>567683.33581918804</v>
      </c>
      <c r="AA40" s="20">
        <v>541216.29056179198</v>
      </c>
      <c r="AB40" s="20">
        <v>547625.86358692602</v>
      </c>
      <c r="AC40" s="20">
        <v>572095.76892377494</v>
      </c>
      <c r="AD40" s="20">
        <v>568542.57488601899</v>
      </c>
      <c r="AE40" s="20">
        <v>548266.51725009398</v>
      </c>
      <c r="AF40" s="20">
        <v>565466.82154496596</v>
      </c>
      <c r="AG40" s="20">
        <v>591325.98786130198</v>
      </c>
      <c r="AH40" s="20">
        <v>615415.47316320206</v>
      </c>
      <c r="AI40" s="20">
        <v>642074.11705809797</v>
      </c>
      <c r="AJ40" s="20">
        <v>672018.97900998301</v>
      </c>
      <c r="AK40" s="16"/>
      <c r="AL40" s="25">
        <v>3.2888721496165063E-2</v>
      </c>
      <c r="AM40" s="25">
        <v>2.8843039908195367E-2</v>
      </c>
      <c r="AN40" s="25">
        <v>2.3508826348185297E-2</v>
      </c>
      <c r="AO40" s="25">
        <v>1.727558717854083E-2</v>
      </c>
      <c r="AP40" s="25">
        <v>9.7904355801925469E-3</v>
      </c>
      <c r="AQ40" s="25">
        <v>1.8178580442596015E-3</v>
      </c>
      <c r="AR40" s="25">
        <v>-3.3449229627590116E-3</v>
      </c>
      <c r="AS40" s="25">
        <v>-1.1079319634054174E-3</v>
      </c>
      <c r="AT40" s="25">
        <v>4.8934098997499564E-3</v>
      </c>
      <c r="AU40" s="25">
        <v>1.5235248091937992E-2</v>
      </c>
      <c r="AV40" s="25">
        <v>1.6126764918219072E-2</v>
      </c>
      <c r="AW40" s="25">
        <v>2.1540722483505803E-2</v>
      </c>
      <c r="AX40" s="25">
        <v>2.7613026747848268E-2</v>
      </c>
      <c r="AY40" s="25">
        <v>2.6978579088403398E-2</v>
      </c>
      <c r="AZ40" s="25">
        <v>2.5079662791946955E-2</v>
      </c>
      <c r="BA40" s="25">
        <v>2.5870185947085789E-2</v>
      </c>
      <c r="BB40" s="25">
        <v>2.6893536703573639E-2</v>
      </c>
      <c r="BC40" s="25">
        <v>2.3026535336124088E-2</v>
      </c>
      <c r="BD40" s="25">
        <v>1.6693942729572031E-2</v>
      </c>
      <c r="BE40" s="25">
        <v>2.2786008601595631E-2</v>
      </c>
      <c r="BF40" s="25">
        <v>0</v>
      </c>
      <c r="BG40" s="16"/>
      <c r="BH40" s="20">
        <f t="shared" si="11"/>
        <v>498486.91209321097</v>
      </c>
      <c r="BI40" s="20">
        <f t="shared" si="12"/>
        <v>508009.42345332034</v>
      </c>
      <c r="BJ40" s="20">
        <f t="shared" si="13"/>
        <v>507820.70799029514</v>
      </c>
      <c r="BK40" s="20">
        <f t="shared" si="14"/>
        <v>542950.39282526064</v>
      </c>
      <c r="BL40" s="20">
        <f t="shared" si="15"/>
        <v>579974.06732848543</v>
      </c>
      <c r="BM40" s="20">
        <f t="shared" si="16"/>
        <v>622586.27661636868</v>
      </c>
      <c r="BN40" s="20">
        <f t="shared" si="17"/>
        <v>646954.17862239375</v>
      </c>
      <c r="BO40" s="20">
        <f t="shared" si="18"/>
        <v>593606.9343453279</v>
      </c>
      <c r="BP40" s="20">
        <f t="shared" si="19"/>
        <v>641796.23229817941</v>
      </c>
      <c r="BQ40" s="20">
        <f t="shared" si="20"/>
        <v>694772.7028293598</v>
      </c>
      <c r="BR40" s="20">
        <f t="shared" si="21"/>
        <v>666169.97509074828</v>
      </c>
      <c r="BS40" s="20">
        <f t="shared" si="22"/>
        <v>655649.92487029079</v>
      </c>
      <c r="BT40" s="20">
        <f t="shared" si="23"/>
        <v>680958.67903690785</v>
      </c>
      <c r="BU40" s="20">
        <f t="shared" si="24"/>
        <v>689284.37133248942</v>
      </c>
      <c r="BV40" s="20">
        <f t="shared" si="25"/>
        <v>659642.60214718839</v>
      </c>
      <c r="BW40" s="20">
        <f t="shared" si="26"/>
        <v>622950.82662447449</v>
      </c>
      <c r="BX40" s="20">
        <f t="shared" si="27"/>
        <v>628794.60904943815</v>
      </c>
      <c r="BY40" s="20">
        <f t="shared" si="28"/>
        <v>633122.37467348482</v>
      </c>
      <c r="BZ40" s="20">
        <f t="shared" si="29"/>
        <v>636134.40322840307</v>
      </c>
      <c r="CA40" s="20">
        <f t="shared" si="30"/>
        <v>656704.4234122457</v>
      </c>
      <c r="CB40" s="20">
        <f t="shared" si="31"/>
        <v>672018.97900998301</v>
      </c>
      <c r="CC40" s="18"/>
      <c r="CD40" s="19" t="s">
        <v>205</v>
      </c>
      <c r="CE40" s="19" t="s">
        <v>206</v>
      </c>
      <c r="CF40" s="19">
        <v>39</v>
      </c>
      <c r="CG40" s="19">
        <v>1192583.6936085899</v>
      </c>
      <c r="CH40" s="19">
        <v>97.616789584680603</v>
      </c>
      <c r="CI40" s="19">
        <v>12216.9936</v>
      </c>
      <c r="CJ40" s="16"/>
      <c r="CK40" s="19" t="s">
        <v>205</v>
      </c>
      <c r="CL40" s="19" t="s">
        <v>206</v>
      </c>
      <c r="CM40" s="20">
        <v>1656795.0438083999</v>
      </c>
      <c r="CN40" s="19">
        <v>39</v>
      </c>
      <c r="CO40" s="20">
        <v>135.61397763405901</v>
      </c>
      <c r="CP40" s="20">
        <v>12216.9932090562</v>
      </c>
      <c r="CQ40" s="16"/>
      <c r="CR40" s="19">
        <v>1351000</v>
      </c>
      <c r="CT40" s="20"/>
      <c r="CV40" s="19">
        <v>1600000</v>
      </c>
      <c r="CW40" s="19">
        <v>62000</v>
      </c>
      <c r="DB40" s="19">
        <v>900825</v>
      </c>
      <c r="DF40" s="19">
        <v>1400000</v>
      </c>
      <c r="DJ40" s="19">
        <v>90000</v>
      </c>
      <c r="DK40" s="19">
        <v>1000000</v>
      </c>
      <c r="DL40" s="19">
        <v>746200</v>
      </c>
      <c r="DP40" s="20">
        <f>1600000*CP40/SUM(CP$40:CP$42)</f>
        <v>824393.2538050185</v>
      </c>
      <c r="DR40" s="19">
        <v>900000</v>
      </c>
      <c r="DX40" s="19">
        <v>800000</v>
      </c>
      <c r="DY40" s="19">
        <v>1500000</v>
      </c>
      <c r="DZ40" s="19">
        <f t="shared" si="46"/>
        <v>8874418.253805019</v>
      </c>
      <c r="EA40" s="19">
        <f t="shared" si="32"/>
        <v>6784980.8480378957</v>
      </c>
      <c r="EB40" s="19">
        <f t="shared" si="33"/>
        <v>8.4102913628729722E-2</v>
      </c>
      <c r="EC40" s="19">
        <f t="shared" si="47"/>
        <v>555.37240071545034</v>
      </c>
      <c r="ED40" s="18"/>
      <c r="EE40" s="19">
        <v>8314000</v>
      </c>
      <c r="EI40" s="19">
        <v>8314000</v>
      </c>
      <c r="EO40" s="19">
        <v>13824000</v>
      </c>
      <c r="ES40" s="19">
        <v>13824000</v>
      </c>
      <c r="EX40" s="19">
        <v>1100000</v>
      </c>
      <c r="EY40" s="19">
        <v>11993000</v>
      </c>
      <c r="EZ40" s="19">
        <v>5467700</v>
      </c>
      <c r="FD40" s="19" t="e">
        <f>15800000*#REF!/SUM(#REF!)</f>
        <v>#REF!</v>
      </c>
      <c r="FF40" s="19">
        <v>12700000</v>
      </c>
      <c r="FL40" s="19">
        <v>15700000</v>
      </c>
      <c r="FM40" s="19">
        <v>24400000</v>
      </c>
      <c r="FN40" s="18"/>
      <c r="FO40" s="19">
        <f t="shared" si="48"/>
        <v>0</v>
      </c>
      <c r="FP40" s="19">
        <f t="shared" si="49"/>
        <v>0</v>
      </c>
      <c r="FQ40" s="19" t="e">
        <f t="shared" si="50"/>
        <v>#REF!</v>
      </c>
      <c r="FR40" s="19">
        <f t="shared" si="51"/>
        <v>12700000</v>
      </c>
      <c r="FS40" s="19">
        <f t="shared" si="52"/>
        <v>0</v>
      </c>
      <c r="FT40" s="19">
        <f t="shared" si="53"/>
        <v>0</v>
      </c>
      <c r="FU40" s="19">
        <f t="shared" si="53"/>
        <v>0</v>
      </c>
      <c r="FV40" s="19">
        <f t="shared" si="53"/>
        <v>0</v>
      </c>
      <c r="FW40" s="19">
        <f t="shared" si="53"/>
        <v>15700000</v>
      </c>
      <c r="FX40" s="19" t="e">
        <f t="shared" si="54"/>
        <v>#REF!</v>
      </c>
    </row>
    <row r="41" spans="1:180" s="8" customFormat="1" x14ac:dyDescent="0.3">
      <c r="A41" s="8">
        <v>40</v>
      </c>
      <c r="B41" s="8" t="s">
        <v>209</v>
      </c>
      <c r="C41" s="8" t="s">
        <v>210</v>
      </c>
      <c r="D41" s="8" t="s">
        <v>207</v>
      </c>
      <c r="F41" s="8">
        <f t="shared" si="41"/>
        <v>10</v>
      </c>
      <c r="G41" s="8">
        <f t="shared" si="45"/>
        <v>101.3777669011231</v>
      </c>
      <c r="H41" s="8">
        <f>(2*EA41)/$F41/$CI41</f>
        <v>123.55576821631556</v>
      </c>
      <c r="I41" s="8">
        <f t="shared" si="7"/>
        <v>0.82050209686394993</v>
      </c>
      <c r="J41" s="8">
        <f t="shared" si="1"/>
        <v>5</v>
      </c>
      <c r="K41" s="8">
        <f t="shared" si="8"/>
        <v>4</v>
      </c>
      <c r="M41" s="10">
        <f t="shared" si="9"/>
        <v>785851.60263011116</v>
      </c>
      <c r="N41" s="10">
        <f t="shared" si="10"/>
        <v>787597.09204261855</v>
      </c>
      <c r="O41" s="1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>
        <v>725442.378505253</v>
      </c>
      <c r="AD41" s="10">
        <v>701950.16457618505</v>
      </c>
      <c r="AE41" s="10">
        <v>676681.44348963199</v>
      </c>
      <c r="AF41" s="10">
        <v>665100.77388671902</v>
      </c>
      <c r="AG41" s="10">
        <v>687555.43789443804</v>
      </c>
      <c r="AH41" s="10">
        <v>734501.54339493404</v>
      </c>
      <c r="AI41" s="10">
        <v>784958.82278972003</v>
      </c>
      <c r="AJ41" s="10">
        <v>805634.20439380896</v>
      </c>
      <c r="AK41" s="11"/>
      <c r="AL41" s="22">
        <v>3.2888721496165063E-2</v>
      </c>
      <c r="AM41" s="22">
        <v>2.8843039908195367E-2</v>
      </c>
      <c r="AN41" s="22">
        <v>2.3508826348185297E-2</v>
      </c>
      <c r="AO41" s="22">
        <v>1.727558717854083E-2</v>
      </c>
      <c r="AP41" s="22">
        <v>9.7904355801925469E-3</v>
      </c>
      <c r="AQ41" s="22">
        <v>1.8178580442596015E-3</v>
      </c>
      <c r="AR41" s="22">
        <v>-3.3449229627590116E-3</v>
      </c>
      <c r="AS41" s="22">
        <v>-1.1079319634054174E-3</v>
      </c>
      <c r="AT41" s="22">
        <v>4.8934098997499564E-3</v>
      </c>
      <c r="AU41" s="22">
        <v>1.5235248091937992E-2</v>
      </c>
      <c r="AV41" s="22">
        <v>1.6126764918219072E-2</v>
      </c>
      <c r="AW41" s="22">
        <v>2.1540722483505803E-2</v>
      </c>
      <c r="AX41" s="22">
        <v>2.7613026747848268E-2</v>
      </c>
      <c r="AY41" s="22">
        <v>2.6978579088403398E-2</v>
      </c>
      <c r="AZ41" s="22">
        <v>2.5079662791946955E-2</v>
      </c>
      <c r="BA41" s="22">
        <v>2.5870185947085789E-2</v>
      </c>
      <c r="BB41" s="22">
        <v>2.6893536703573639E-2</v>
      </c>
      <c r="BC41" s="22">
        <v>2.3026535336124088E-2</v>
      </c>
      <c r="BD41" s="22">
        <v>1.6693942729572031E-2</v>
      </c>
      <c r="BE41" s="22">
        <v>2.2786008601595631E-2</v>
      </c>
      <c r="BF41" s="22">
        <v>0</v>
      </c>
      <c r="BG41" s="11"/>
      <c r="BH41" s="10" t="str">
        <f t="shared" si="11"/>
        <v>NaN</v>
      </c>
      <c r="BI41" s="10" t="str">
        <f t="shared" si="12"/>
        <v>NaN</v>
      </c>
      <c r="BJ41" s="10" t="str">
        <f t="shared" si="13"/>
        <v>NaN</v>
      </c>
      <c r="BK41" s="10" t="str">
        <f t="shared" si="14"/>
        <v>NaN</v>
      </c>
      <c r="BL41" s="10" t="str">
        <f t="shared" si="15"/>
        <v>NaN</v>
      </c>
      <c r="BM41" s="10" t="str">
        <f t="shared" si="16"/>
        <v>NaN</v>
      </c>
      <c r="BN41" s="10" t="str">
        <f t="shared" si="17"/>
        <v>NaN</v>
      </c>
      <c r="BO41" s="10" t="str">
        <f t="shared" si="18"/>
        <v>NaN</v>
      </c>
      <c r="BP41" s="10" t="str">
        <f t="shared" si="19"/>
        <v>NaN</v>
      </c>
      <c r="BQ41" s="10" t="str">
        <f t="shared" si="20"/>
        <v>NaN</v>
      </c>
      <c r="BR41" s="10" t="str">
        <f t="shared" si="21"/>
        <v>NaN</v>
      </c>
      <c r="BS41" s="10" t="str">
        <f t="shared" si="22"/>
        <v>NaN</v>
      </c>
      <c r="BT41" s="10" t="str">
        <f t="shared" si="23"/>
        <v>NaN</v>
      </c>
      <c r="BU41" s="10">
        <f t="shared" si="24"/>
        <v>874042.63581009477</v>
      </c>
      <c r="BV41" s="10">
        <f t="shared" si="25"/>
        <v>814426.66493623808</v>
      </c>
      <c r="BW41" s="10">
        <f t="shared" si="26"/>
        <v>768858.30398251733</v>
      </c>
      <c r="BX41" s="10">
        <f t="shared" si="27"/>
        <v>739586.77177900879</v>
      </c>
      <c r="BY41" s="10">
        <f t="shared" si="28"/>
        <v>736153.56080290757</v>
      </c>
      <c r="BZ41" s="10">
        <f t="shared" si="29"/>
        <v>759229.69335866778</v>
      </c>
      <c r="CA41" s="10">
        <f t="shared" si="30"/>
        <v>802844.90127770498</v>
      </c>
      <c r="CB41" s="10">
        <f t="shared" si="31"/>
        <v>805634.20439380896</v>
      </c>
      <c r="CC41" s="12"/>
      <c r="CD41" s="13" t="s">
        <v>211</v>
      </c>
      <c r="CE41" s="13" t="s">
        <v>210</v>
      </c>
      <c r="CF41" s="13">
        <v>40</v>
      </c>
      <c r="CG41" s="13">
        <v>175915.006200604</v>
      </c>
      <c r="CH41" s="13">
        <v>54.783955431838898</v>
      </c>
      <c r="CI41" s="13">
        <v>3211.0680000000002</v>
      </c>
      <c r="CJ41" s="11"/>
      <c r="CK41" s="13" t="s">
        <v>209</v>
      </c>
      <c r="CL41" s="13" t="s">
        <v>210</v>
      </c>
      <c r="CM41" s="14">
        <v>501445.89336199302</v>
      </c>
      <c r="CN41" s="13">
        <v>40</v>
      </c>
      <c r="CO41" s="14">
        <v>156.161722332962</v>
      </c>
      <c r="CP41" s="14">
        <v>3211.0678972458199</v>
      </c>
      <c r="CQ41" s="11"/>
      <c r="CS41" s="8">
        <v>506139</v>
      </c>
      <c r="CT41" s="10"/>
      <c r="DC41" s="8">
        <v>891000</v>
      </c>
      <c r="DI41" s="8">
        <v>450000</v>
      </c>
      <c r="DO41" s="10">
        <f>1900000*CP41/SUM($CP$41:$CP$42)</f>
        <v>530800.84858127777</v>
      </c>
      <c r="DP41" s="10">
        <f>1600000*CP41/SUM(CP$40:CP$42)</f>
        <v>216680.37844508418</v>
      </c>
      <c r="DZ41" s="8">
        <f t="shared" si="46"/>
        <v>2594620.227026362</v>
      </c>
      <c r="EA41" s="8">
        <f t="shared" si="32"/>
        <v>1983729.86767414</v>
      </c>
      <c r="EB41" s="8">
        <f t="shared" si="33"/>
        <v>2.4589231047273521E-2</v>
      </c>
      <c r="EC41" s="8">
        <f t="shared" si="47"/>
        <v>617.77886085050216</v>
      </c>
      <c r="ED41" s="12"/>
      <c r="EF41" s="8">
        <v>6026820</v>
      </c>
      <c r="EP41" s="8">
        <v>6026820</v>
      </c>
      <c r="EW41" s="8">
        <v>4200000</v>
      </c>
      <c r="FC41" s="8">
        <f>57000000*CP41/SUM($CP$41:$CP$42)</f>
        <v>15924025.457438331</v>
      </c>
      <c r="FD41" s="10" t="e">
        <f>15800000*#REF!/SUM(#REF!)</f>
        <v>#REF!</v>
      </c>
      <c r="FE41" s="10"/>
      <c r="FF41" s="10"/>
      <c r="FG41" s="10"/>
      <c r="FH41" s="10"/>
      <c r="FI41" s="10"/>
      <c r="FJ41" s="10"/>
      <c r="FK41" s="10"/>
      <c r="FL41" s="10"/>
      <c r="FM41" s="10"/>
      <c r="FN41" s="12"/>
      <c r="FO41" s="8">
        <f t="shared" si="48"/>
        <v>0</v>
      </c>
      <c r="FP41" s="8">
        <f t="shared" si="49"/>
        <v>15924025.457438331</v>
      </c>
      <c r="FQ41" s="8" t="e">
        <f t="shared" si="50"/>
        <v>#REF!</v>
      </c>
      <c r="FR41" s="8">
        <f t="shared" si="51"/>
        <v>0</v>
      </c>
      <c r="FS41" s="8">
        <f t="shared" si="52"/>
        <v>0</v>
      </c>
      <c r="FT41" s="8">
        <f t="shared" si="53"/>
        <v>0</v>
      </c>
      <c r="FU41" s="8">
        <f t="shared" si="53"/>
        <v>0</v>
      </c>
      <c r="FV41" s="8">
        <f t="shared" si="53"/>
        <v>0</v>
      </c>
      <c r="FW41" s="8">
        <f t="shared" si="53"/>
        <v>0</v>
      </c>
      <c r="FX41" s="8" t="e">
        <f t="shared" si="54"/>
        <v>#REF!</v>
      </c>
    </row>
    <row r="42" spans="1:180" x14ac:dyDescent="0.3">
      <c r="A42" s="8">
        <v>41</v>
      </c>
      <c r="B42" s="13" t="s">
        <v>212</v>
      </c>
      <c r="C42" s="13" t="s">
        <v>213</v>
      </c>
      <c r="D42" s="13" t="s">
        <v>207</v>
      </c>
      <c r="F42" s="13">
        <f t="shared" si="41"/>
        <v>10</v>
      </c>
      <c r="G42" s="13">
        <f t="shared" si="45"/>
        <v>63.460595120286996</v>
      </c>
      <c r="H42" s="13">
        <f>(2*EA42)/$F42/$CI42</f>
        <v>73.650957903666168</v>
      </c>
      <c r="I42" s="13">
        <f t="shared" si="7"/>
        <v>0.86163977939420777</v>
      </c>
      <c r="J42" s="13">
        <f t="shared" si="1"/>
        <v>6</v>
      </c>
      <c r="K42" s="13">
        <f t="shared" si="8"/>
        <v>3.3333333333333335</v>
      </c>
      <c r="M42" s="14">
        <f t="shared" si="9"/>
        <v>779106.04401999596</v>
      </c>
      <c r="N42" s="14">
        <f t="shared" si="10"/>
        <v>798338.81061694585</v>
      </c>
      <c r="P42" s="14">
        <v>371820.81761808199</v>
      </c>
      <c r="Q42" s="14">
        <v>447580.48196003598</v>
      </c>
      <c r="R42" s="14">
        <v>499788.811862715</v>
      </c>
      <c r="S42" s="14">
        <v>586782.78764768504</v>
      </c>
      <c r="T42" s="14">
        <v>722992.841457912</v>
      </c>
      <c r="U42" s="14">
        <v>890657.74017878994</v>
      </c>
      <c r="V42" s="14">
        <v>973098.50356149697</v>
      </c>
      <c r="W42" s="14">
        <v>878036.35153049196</v>
      </c>
      <c r="X42" s="14">
        <v>905118.40489434602</v>
      </c>
      <c r="Y42" s="14">
        <v>829248.00064601598</v>
      </c>
      <c r="Z42" s="14">
        <v>678675.56973743194</v>
      </c>
      <c r="AA42" s="14">
        <v>489317.80724702397</v>
      </c>
      <c r="AB42" s="14">
        <v>552475.82520556997</v>
      </c>
      <c r="AC42" s="14">
        <v>610958.97568709496</v>
      </c>
      <c r="AD42" s="14">
        <v>647102.83889560401</v>
      </c>
      <c r="AE42" s="14">
        <v>646936.31761749496</v>
      </c>
      <c r="AF42" s="14">
        <v>676812.22506463795</v>
      </c>
      <c r="AG42" s="14">
        <v>721707.42196937394</v>
      </c>
      <c r="AH42" s="14">
        <v>753730.52029811696</v>
      </c>
      <c r="AI42" s="14">
        <v>784846.87783850601</v>
      </c>
      <c r="AJ42" s="14">
        <v>843637.45484198001</v>
      </c>
      <c r="AL42" s="23">
        <v>3.2888721496165063E-2</v>
      </c>
      <c r="AM42" s="23">
        <v>2.8843039908195367E-2</v>
      </c>
      <c r="AN42" s="23">
        <v>2.3508826348185297E-2</v>
      </c>
      <c r="AO42" s="23">
        <v>1.727558717854083E-2</v>
      </c>
      <c r="AP42" s="23">
        <v>9.7904355801925469E-3</v>
      </c>
      <c r="AQ42" s="23">
        <v>1.8178580442596015E-3</v>
      </c>
      <c r="AR42" s="23">
        <v>-3.3449229627590116E-3</v>
      </c>
      <c r="AS42" s="23">
        <v>-1.1079319634054174E-3</v>
      </c>
      <c r="AT42" s="23">
        <v>4.8934098997499564E-3</v>
      </c>
      <c r="AU42" s="23">
        <v>1.5235248091937992E-2</v>
      </c>
      <c r="AV42" s="23">
        <v>1.6126764918219072E-2</v>
      </c>
      <c r="AW42" s="23">
        <v>2.1540722483505803E-2</v>
      </c>
      <c r="AX42" s="23">
        <v>2.7613026747848268E-2</v>
      </c>
      <c r="AY42" s="23">
        <v>2.6978579088403398E-2</v>
      </c>
      <c r="AZ42" s="23">
        <v>2.5079662791946955E-2</v>
      </c>
      <c r="BA42" s="23">
        <v>2.5870185947085789E-2</v>
      </c>
      <c r="BB42" s="23">
        <v>2.6893536703573639E-2</v>
      </c>
      <c r="BC42" s="23">
        <v>2.3026535336124088E-2</v>
      </c>
      <c r="BD42" s="23">
        <v>1.6693942729572031E-2</v>
      </c>
      <c r="BE42" s="23">
        <v>2.2786008601595631E-2</v>
      </c>
      <c r="BF42" s="23">
        <v>0</v>
      </c>
      <c r="BH42" s="14">
        <f t="shared" si="11"/>
        <v>710238.81978751079</v>
      </c>
      <c r="BI42" s="14">
        <f t="shared" si="12"/>
        <v>768253.40604212997</v>
      </c>
      <c r="BJ42" s="14">
        <f t="shared" si="13"/>
        <v>759338.09702966106</v>
      </c>
      <c r="BK42" s="14">
        <f t="shared" si="14"/>
        <v>785116.21233718854</v>
      </c>
      <c r="BL42" s="14">
        <f t="shared" si="15"/>
        <v>844955.90092413942</v>
      </c>
      <c r="BM42" s="14">
        <f t="shared" si="16"/>
        <v>915255.57186129328</v>
      </c>
      <c r="BN42" s="14">
        <f t="shared" si="17"/>
        <v>928506.97964855842</v>
      </c>
      <c r="BO42" s="14">
        <f t="shared" si="18"/>
        <v>865473.62044459081</v>
      </c>
      <c r="BP42" s="14">
        <f t="shared" si="19"/>
        <v>959721.83023360872</v>
      </c>
      <c r="BQ42" s="14">
        <f t="shared" si="20"/>
        <v>979305.05789875356</v>
      </c>
      <c r="BR42" s="14">
        <f t="shared" si="21"/>
        <v>796418.10646822723</v>
      </c>
      <c r="BS42" s="14">
        <f t="shared" si="22"/>
        <v>592778.13538500236</v>
      </c>
      <c r="BT42" s="14">
        <f t="shared" si="23"/>
        <v>686989.48159173864</v>
      </c>
      <c r="BU42" s="14">
        <f t="shared" si="24"/>
        <v>736108.35168146621</v>
      </c>
      <c r="BV42" s="14">
        <f t="shared" si="25"/>
        <v>750790.91586325783</v>
      </c>
      <c r="BW42" s="14">
        <f t="shared" si="26"/>
        <v>735061.32720736193</v>
      </c>
      <c r="BX42" s="14">
        <f t="shared" si="27"/>
        <v>752609.8123611263</v>
      </c>
      <c r="BY42" s="14">
        <f t="shared" si="28"/>
        <v>772719.49178040097</v>
      </c>
      <c r="BZ42" s="14">
        <f t="shared" si="29"/>
        <v>779106.04401999596</v>
      </c>
      <c r="CA42" s="14">
        <f t="shared" si="30"/>
        <v>802730.40554786974</v>
      </c>
      <c r="CB42" s="14">
        <f t="shared" si="31"/>
        <v>843637.45484198001</v>
      </c>
      <c r="CD42" s="13" t="s">
        <v>212</v>
      </c>
      <c r="CE42" s="13" t="s">
        <v>214</v>
      </c>
      <c r="CF42" s="13">
        <v>41</v>
      </c>
      <c r="CG42" s="13">
        <v>434443.74810225499</v>
      </c>
      <c r="CH42" s="13">
        <v>52.450428000475</v>
      </c>
      <c r="CI42" s="13">
        <v>8282.94</v>
      </c>
      <c r="CK42" s="13" t="s">
        <v>212</v>
      </c>
      <c r="CL42" s="13" t="s">
        <v>214</v>
      </c>
      <c r="CM42" s="14">
        <v>960084.01912519697</v>
      </c>
      <c r="CN42" s="13">
        <v>41</v>
      </c>
      <c r="CO42" s="14">
        <v>115.911023120762</v>
      </c>
      <c r="CP42" s="14">
        <v>8282.9397349459196</v>
      </c>
      <c r="CT42" s="14"/>
      <c r="DC42" s="13">
        <v>216630</v>
      </c>
      <c r="DF42" s="13">
        <v>700000</v>
      </c>
      <c r="DI42" s="13">
        <v>394797</v>
      </c>
      <c r="DO42" s="14">
        <f>1900000*CP42/SUM($CP$41:$CP$42)</f>
        <v>1369199.1514187222</v>
      </c>
      <c r="DP42" s="14">
        <f>1600000*CP42/SUM(CP$40:CP$42)</f>
        <v>558926.36774989741</v>
      </c>
      <c r="DV42" s="13">
        <v>750000</v>
      </c>
      <c r="DZ42" s="13">
        <f t="shared" si="46"/>
        <v>3989552.5191686195</v>
      </c>
      <c r="EA42" s="13">
        <f t="shared" si="32"/>
        <v>3050232.3262929637</v>
      </c>
      <c r="EB42" s="13">
        <f t="shared" si="33"/>
        <v>3.7809012528010555E-2</v>
      </c>
      <c r="EC42" s="13">
        <f t="shared" si="47"/>
        <v>368.25480130248457</v>
      </c>
      <c r="EQ42" s="13">
        <v>1987684</v>
      </c>
      <c r="ES42" s="13">
        <v>6000000</v>
      </c>
      <c r="EW42" s="13">
        <v>5000000</v>
      </c>
      <c r="FC42" s="13">
        <f>57000000*CP42/SUM($CP$41:$CP$42)</f>
        <v>41075974.542561665</v>
      </c>
      <c r="FD42" s="14" t="e">
        <f>15800000*#REF!/SUM(#REF!)</f>
        <v>#REF!</v>
      </c>
      <c r="FE42" s="14"/>
      <c r="FF42" s="14"/>
      <c r="FG42" s="14"/>
      <c r="FH42" s="14"/>
      <c r="FI42" s="14"/>
      <c r="FJ42" s="14">
        <v>32500000</v>
      </c>
      <c r="FK42" s="14"/>
      <c r="FL42" s="14"/>
      <c r="FM42" s="14"/>
      <c r="FO42" s="13">
        <f t="shared" si="48"/>
        <v>0</v>
      </c>
      <c r="FP42" s="13">
        <f t="shared" si="49"/>
        <v>41075974.542561665</v>
      </c>
      <c r="FQ42" s="13" t="e">
        <f t="shared" si="50"/>
        <v>#REF!</v>
      </c>
      <c r="FR42" s="13">
        <f t="shared" si="51"/>
        <v>0</v>
      </c>
      <c r="FS42" s="13">
        <f t="shared" si="52"/>
        <v>0</v>
      </c>
      <c r="FT42" s="13">
        <f t="shared" si="53"/>
        <v>0</v>
      </c>
      <c r="FU42" s="13">
        <f t="shared" si="53"/>
        <v>32500000</v>
      </c>
      <c r="FV42" s="13">
        <f t="shared" si="53"/>
        <v>0</v>
      </c>
      <c r="FW42" s="13">
        <f t="shared" si="53"/>
        <v>0</v>
      </c>
      <c r="FX42" s="13" t="e">
        <f t="shared" si="54"/>
        <v>#REF!</v>
      </c>
    </row>
    <row r="43" spans="1:180" s="8" customFormat="1" x14ac:dyDescent="0.3">
      <c r="A43" s="8">
        <v>42</v>
      </c>
      <c r="B43" s="8" t="s">
        <v>215</v>
      </c>
      <c r="C43" s="8" t="s">
        <v>216</v>
      </c>
      <c r="D43" s="8" t="s">
        <v>207</v>
      </c>
      <c r="F43" s="8">
        <f t="shared" si="41"/>
        <v>10</v>
      </c>
      <c r="G43" s="8">
        <f t="shared" si="45"/>
        <v>75.432699492430004</v>
      </c>
      <c r="H43" s="8">
        <f>(2*EA43)/$F43/$CI43</f>
        <v>93.050405831007211</v>
      </c>
      <c r="I43" s="8">
        <f t="shared" si="7"/>
        <v>0.81066491670575336</v>
      </c>
      <c r="J43" s="8">
        <f t="shared" si="1"/>
        <v>8</v>
      </c>
      <c r="K43" s="8">
        <f t="shared" si="8"/>
        <v>2.5</v>
      </c>
      <c r="M43" s="10">
        <f t="shared" si="9"/>
        <v>1160366.9735998199</v>
      </c>
      <c r="N43" s="10">
        <f t="shared" si="10"/>
        <v>1157016.9365578499</v>
      </c>
      <c r="O43" s="11"/>
      <c r="P43" s="10">
        <v>442286.88064173801</v>
      </c>
      <c r="Q43" s="10">
        <v>549623.38775585196</v>
      </c>
      <c r="R43" s="10">
        <v>597858.91443490796</v>
      </c>
      <c r="S43" s="10">
        <v>705873.32304435899</v>
      </c>
      <c r="T43" s="10">
        <v>843726.43764353998</v>
      </c>
      <c r="U43" s="10">
        <v>1059153.51313446</v>
      </c>
      <c r="V43" s="10">
        <v>1216093.5677829301</v>
      </c>
      <c r="W43" s="10">
        <v>1184779.77933695</v>
      </c>
      <c r="X43" s="10">
        <v>1057291.8642659199</v>
      </c>
      <c r="Y43" s="10">
        <v>939113.15458728501</v>
      </c>
      <c r="Z43" s="10">
        <v>883714.87195742899</v>
      </c>
      <c r="AA43" s="10">
        <v>675977.44690764602</v>
      </c>
      <c r="AB43" s="10">
        <v>976194.29508177203</v>
      </c>
      <c r="AC43" s="10">
        <v>1049754.0673076101</v>
      </c>
      <c r="AD43" s="10">
        <v>1111759.47061461</v>
      </c>
      <c r="AE43" s="10">
        <v>1130443.8112011701</v>
      </c>
      <c r="AF43" s="10">
        <v>1182623.79502231</v>
      </c>
      <c r="AG43" s="10">
        <v>1258012.7564636699</v>
      </c>
      <c r="AH43" s="10">
        <v>1319270.78039079</v>
      </c>
      <c r="AI43" s="10">
        <v>1473264.5883772101</v>
      </c>
      <c r="AJ43" s="10">
        <v>1582081.8322920001</v>
      </c>
      <c r="AK43" s="11"/>
      <c r="AL43" s="22">
        <v>3.2888721496165063E-2</v>
      </c>
      <c r="AM43" s="22">
        <v>2.8843039908195367E-2</v>
      </c>
      <c r="AN43" s="22">
        <v>2.3508826348185297E-2</v>
      </c>
      <c r="AO43" s="22">
        <v>1.727558717854083E-2</v>
      </c>
      <c r="AP43" s="22">
        <v>9.7904355801925469E-3</v>
      </c>
      <c r="AQ43" s="22">
        <v>1.8178580442596015E-3</v>
      </c>
      <c r="AR43" s="22">
        <v>-3.3449229627590116E-3</v>
      </c>
      <c r="AS43" s="22">
        <v>-1.1079319634054174E-3</v>
      </c>
      <c r="AT43" s="22">
        <v>4.8934098997499564E-3</v>
      </c>
      <c r="AU43" s="22">
        <v>1.5235248091937992E-2</v>
      </c>
      <c r="AV43" s="22">
        <v>1.6126764918219072E-2</v>
      </c>
      <c r="AW43" s="22">
        <v>2.1540722483505803E-2</v>
      </c>
      <c r="AX43" s="22">
        <v>2.7613026747848268E-2</v>
      </c>
      <c r="AY43" s="22">
        <v>2.6978579088403398E-2</v>
      </c>
      <c r="AZ43" s="22">
        <v>2.5079662791946955E-2</v>
      </c>
      <c r="BA43" s="22">
        <v>2.5870185947085789E-2</v>
      </c>
      <c r="BB43" s="22">
        <v>2.6893536703573639E-2</v>
      </c>
      <c r="BC43" s="22">
        <v>2.3026535336124088E-2</v>
      </c>
      <c r="BD43" s="22">
        <v>1.6693942729572031E-2</v>
      </c>
      <c r="BE43" s="22">
        <v>2.2786008601595631E-2</v>
      </c>
      <c r="BF43" s="22">
        <v>0</v>
      </c>
      <c r="BG43" s="11"/>
      <c r="BH43" s="10">
        <f t="shared" si="11"/>
        <v>844840.57166790345</v>
      </c>
      <c r="BI43" s="10">
        <f t="shared" si="12"/>
        <v>943405.83806232607</v>
      </c>
      <c r="BJ43" s="10">
        <f t="shared" si="13"/>
        <v>908337.76107801928</v>
      </c>
      <c r="BK43" s="10">
        <f t="shared" si="14"/>
        <v>944459.51968038816</v>
      </c>
      <c r="BL43" s="10">
        <f t="shared" si="15"/>
        <v>986056.28074412013</v>
      </c>
      <c r="BM43" s="10">
        <f t="shared" si="16"/>
        <v>1088404.7941448104</v>
      </c>
      <c r="BN43" s="10">
        <f t="shared" si="17"/>
        <v>1160366.9735998199</v>
      </c>
      <c r="BO43" s="10">
        <f t="shared" si="18"/>
        <v>1167828.2377089988</v>
      </c>
      <c r="BP43" s="10">
        <f t="shared" si="19"/>
        <v>1121075.5162832413</v>
      </c>
      <c r="BQ43" s="10">
        <f t="shared" si="20"/>
        <v>1109050.9250671905</v>
      </c>
      <c r="BR43" s="10">
        <f t="shared" si="21"/>
        <v>1037029.4089920435</v>
      </c>
      <c r="BS43" s="10">
        <f t="shared" si="22"/>
        <v>818904.69671368366</v>
      </c>
      <c r="BT43" s="10">
        <f t="shared" si="23"/>
        <v>1213872.5028583894</v>
      </c>
      <c r="BU43" s="10">
        <f t="shared" si="24"/>
        <v>1264786.6172809578</v>
      </c>
      <c r="BV43" s="10">
        <f t="shared" si="25"/>
        <v>1289901.4824088174</v>
      </c>
      <c r="BW43" s="10">
        <f t="shared" si="26"/>
        <v>1284431.721587444</v>
      </c>
      <c r="BX43" s="10">
        <f t="shared" si="27"/>
        <v>1315068.2560152346</v>
      </c>
      <c r="BY43" s="10">
        <f t="shared" si="28"/>
        <v>1346932.2169020448</v>
      </c>
      <c r="BZ43" s="10">
        <f t="shared" si="29"/>
        <v>1363686.1066670131</v>
      </c>
      <c r="CA43" s="10">
        <f t="shared" si="30"/>
        <v>1506834.4079603995</v>
      </c>
      <c r="CB43" s="10">
        <f t="shared" si="31"/>
        <v>1582081.8322920001</v>
      </c>
      <c r="CC43" s="12"/>
      <c r="CD43" s="13" t="s">
        <v>215</v>
      </c>
      <c r="CE43" s="13" t="s">
        <v>217</v>
      </c>
      <c r="CF43" s="13">
        <v>42</v>
      </c>
      <c r="CG43" s="13">
        <v>992309.36946934997</v>
      </c>
      <c r="CH43" s="13">
        <v>158.162075765174</v>
      </c>
      <c r="CI43" s="13">
        <v>6274.0032000000001</v>
      </c>
      <c r="CJ43" s="11"/>
      <c r="CK43" s="13" t="s">
        <v>215</v>
      </c>
      <c r="CL43" s="13" t="s">
        <v>217</v>
      </c>
      <c r="CM43" s="14">
        <v>1465574.3205711099</v>
      </c>
      <c r="CN43" s="13">
        <v>42</v>
      </c>
      <c r="CO43" s="14">
        <v>233.594775257604</v>
      </c>
      <c r="CP43" s="14">
        <v>6274.0029992318996</v>
      </c>
      <c r="CQ43" s="11"/>
      <c r="CT43" s="10"/>
      <c r="CU43" s="8">
        <v>1300000</v>
      </c>
      <c r="CX43" s="8">
        <v>57000</v>
      </c>
      <c r="DB43" s="8">
        <v>225000</v>
      </c>
      <c r="DF43" s="8">
        <v>500000</v>
      </c>
      <c r="DG43" s="8">
        <v>450000</v>
      </c>
      <c r="DJ43" s="8">
        <v>75000</v>
      </c>
      <c r="DK43" s="8">
        <v>46359</v>
      </c>
      <c r="DO43" s="10"/>
      <c r="DR43" s="10">
        <f>1860467*CP43/SUM($CP$43:$CP$44)</f>
        <v>1164538.6263646039</v>
      </c>
      <c r="DY43" s="10">
        <f>1307519*CP43/(SUM($CP$43:$CP$44))</f>
        <v>818426.97570320801</v>
      </c>
      <c r="DZ43" s="8">
        <f t="shared" si="46"/>
        <v>3817897.6263646036</v>
      </c>
      <c r="EA43" s="8">
        <f t="shared" si="32"/>
        <v>2918992.7197251893</v>
      </c>
      <c r="EB43" s="8">
        <f t="shared" si="33"/>
        <v>3.618223810623309E-2</v>
      </c>
      <c r="EC43" s="8">
        <f t="shared" si="47"/>
        <v>465.25204404310125</v>
      </c>
      <c r="ED43" s="12"/>
      <c r="ES43" s="8">
        <v>4500000</v>
      </c>
      <c r="ET43" s="8">
        <v>9338000</v>
      </c>
      <c r="EX43" s="8">
        <v>2150543</v>
      </c>
      <c r="EY43" s="8">
        <v>418984</v>
      </c>
      <c r="FM43" s="8">
        <f>28000000*CP43/(SUM($CP$43:$CP$44))</f>
        <v>17526288.581420098</v>
      </c>
      <c r="FN43" s="12"/>
      <c r="FO43" s="8">
        <f t="shared" si="48"/>
        <v>0</v>
      </c>
      <c r="FP43" s="8">
        <f t="shared" si="49"/>
        <v>0</v>
      </c>
      <c r="FQ43" s="8">
        <f t="shared" si="50"/>
        <v>0</v>
      </c>
      <c r="FR43" s="8">
        <f t="shared" si="51"/>
        <v>0</v>
      </c>
      <c r="FS43" s="8">
        <f t="shared" si="52"/>
        <v>0</v>
      </c>
      <c r="FT43" s="8">
        <f t="shared" si="53"/>
        <v>0</v>
      </c>
      <c r="FU43" s="8">
        <f t="shared" si="53"/>
        <v>0</v>
      </c>
      <c r="FV43" s="8">
        <f t="shared" si="53"/>
        <v>0</v>
      </c>
      <c r="FW43" s="8">
        <f t="shared" si="53"/>
        <v>0</v>
      </c>
      <c r="FX43" s="8">
        <f t="shared" si="54"/>
        <v>16407527</v>
      </c>
    </row>
    <row r="44" spans="1:180" x14ac:dyDescent="0.3">
      <c r="A44" s="8">
        <v>43</v>
      </c>
      <c r="B44" s="13" t="s">
        <v>218</v>
      </c>
      <c r="C44" s="13" t="s">
        <v>170</v>
      </c>
      <c r="D44" s="13" t="s">
        <v>207</v>
      </c>
      <c r="F44" s="13">
        <f t="shared" si="41"/>
        <v>10</v>
      </c>
      <c r="G44" s="13">
        <f t="shared" si="45"/>
        <v>42.775404881680707</v>
      </c>
      <c r="H44" s="13">
        <f>(2*EA44)/$F44/$CI44</f>
        <v>225.72883240158711</v>
      </c>
      <c r="I44" s="13">
        <f t="shared" si="7"/>
        <v>0.18949907473751657</v>
      </c>
      <c r="J44" s="13">
        <f t="shared" si="1"/>
        <v>7</v>
      </c>
      <c r="K44" s="13">
        <f t="shared" si="8"/>
        <v>2.8571428571428572</v>
      </c>
      <c r="M44" s="14">
        <f t="shared" si="9"/>
        <v>1140413.9197669495</v>
      </c>
      <c r="N44" s="14">
        <f t="shared" si="10"/>
        <v>1017510.1391333973</v>
      </c>
      <c r="P44" s="14">
        <v>301993.89812952402</v>
      </c>
      <c r="Q44" s="14">
        <v>377287.59061736602</v>
      </c>
      <c r="R44" s="14">
        <v>428938.11679824302</v>
      </c>
      <c r="S44" s="14">
        <v>499770.31092033099</v>
      </c>
      <c r="T44" s="14">
        <v>593028.326970194</v>
      </c>
      <c r="U44" s="14">
        <v>729472.80529334699</v>
      </c>
      <c r="V44" s="14">
        <v>856387.18124582095</v>
      </c>
      <c r="W44" s="14">
        <v>859024.47896435903</v>
      </c>
      <c r="X44" s="14">
        <v>955804.25930988404</v>
      </c>
      <c r="Y44" s="14">
        <v>1007504.7747993</v>
      </c>
      <c r="Z44" s="14">
        <v>930671.90700823395</v>
      </c>
      <c r="AA44" s="14">
        <v>941372.16820913402</v>
      </c>
      <c r="AB44" s="14">
        <v>1060848.8662286601</v>
      </c>
      <c r="AC44" s="14">
        <v>1007831.52778797</v>
      </c>
      <c r="AD44" s="14">
        <v>995396.04951299995</v>
      </c>
      <c r="AE44" s="14">
        <v>1021443.10236439</v>
      </c>
      <c r="AF44" s="14">
        <v>1085755.2122476499</v>
      </c>
      <c r="AG44" s="14">
        <v>1155356.8149285601</v>
      </c>
      <c r="AH44" s="14">
        <v>1199587.95489345</v>
      </c>
      <c r="AI44" s="14">
        <v>1316980.0375475199</v>
      </c>
      <c r="AJ44" s="14">
        <v>1400250.0176164401</v>
      </c>
      <c r="AL44" s="23">
        <v>3.2888721496165063E-2</v>
      </c>
      <c r="AM44" s="23">
        <v>2.8843039908195367E-2</v>
      </c>
      <c r="AN44" s="23">
        <v>2.3508826348185297E-2</v>
      </c>
      <c r="AO44" s="23">
        <v>1.727558717854083E-2</v>
      </c>
      <c r="AP44" s="23">
        <v>9.7904355801925469E-3</v>
      </c>
      <c r="AQ44" s="23">
        <v>1.8178580442596015E-3</v>
      </c>
      <c r="AR44" s="23">
        <v>-3.3449229627590116E-3</v>
      </c>
      <c r="AS44" s="23">
        <v>-1.1079319634054174E-3</v>
      </c>
      <c r="AT44" s="23">
        <v>4.8934098997499564E-3</v>
      </c>
      <c r="AU44" s="23">
        <v>1.5235248091937992E-2</v>
      </c>
      <c r="AV44" s="23">
        <v>1.6126764918219072E-2</v>
      </c>
      <c r="AW44" s="23">
        <v>2.1540722483505803E-2</v>
      </c>
      <c r="AX44" s="23">
        <v>2.7613026747848268E-2</v>
      </c>
      <c r="AY44" s="23">
        <v>2.6978579088403398E-2</v>
      </c>
      <c r="AZ44" s="23">
        <v>2.5079662791946955E-2</v>
      </c>
      <c r="BA44" s="23">
        <v>2.5870185947085789E-2</v>
      </c>
      <c r="BB44" s="23">
        <v>2.6893536703573639E-2</v>
      </c>
      <c r="BC44" s="23">
        <v>2.3026535336124088E-2</v>
      </c>
      <c r="BD44" s="23">
        <v>1.6693942729572031E-2</v>
      </c>
      <c r="BE44" s="23">
        <v>2.2786008601595631E-2</v>
      </c>
      <c r="BF44" s="23">
        <v>0</v>
      </c>
      <c r="BH44" s="14">
        <f t="shared" si="11"/>
        <v>576857.93701539154</v>
      </c>
      <c r="BI44" s="14">
        <f t="shared" si="12"/>
        <v>647598.56211759662</v>
      </c>
      <c r="BJ44" s="14">
        <f t="shared" si="13"/>
        <v>651693.36652244243</v>
      </c>
      <c r="BK44" s="14">
        <f t="shared" si="14"/>
        <v>668693.39354913041</v>
      </c>
      <c r="BL44" s="14">
        <f t="shared" si="15"/>
        <v>693067.42135676485</v>
      </c>
      <c r="BM44" s="14">
        <f t="shared" si="16"/>
        <v>749619.09546982637</v>
      </c>
      <c r="BN44" s="14">
        <f t="shared" si="17"/>
        <v>817143.86792091897</v>
      </c>
      <c r="BO44" s="14">
        <f t="shared" si="18"/>
        <v>846733.7651384169</v>
      </c>
      <c r="BP44" s="14">
        <f t="shared" si="19"/>
        <v>1013465.4296384982</v>
      </c>
      <c r="BQ44" s="14">
        <f t="shared" si="20"/>
        <v>1189818.3909390888</v>
      </c>
      <c r="BR44" s="14">
        <f t="shared" si="21"/>
        <v>1092132.9586232651</v>
      </c>
      <c r="BS44" s="14">
        <f t="shared" si="22"/>
        <v>1140413.9197669495</v>
      </c>
      <c r="BT44" s="14">
        <f t="shared" si="23"/>
        <v>1319138.2851664789</v>
      </c>
      <c r="BU44" s="14">
        <f t="shared" si="24"/>
        <v>1214276.6277527767</v>
      </c>
      <c r="BV44" s="14">
        <f t="shared" si="25"/>
        <v>1154892.6488036937</v>
      </c>
      <c r="BW44" s="14">
        <f t="shared" si="26"/>
        <v>1160583.0466526733</v>
      </c>
      <c r="BX44" s="14">
        <f t="shared" si="27"/>
        <v>1207351.1622544613</v>
      </c>
      <c r="BY44" s="14">
        <f t="shared" si="28"/>
        <v>1237020.2989190053</v>
      </c>
      <c r="BZ44" s="14">
        <f t="shared" si="29"/>
        <v>1239973.9705663186</v>
      </c>
      <c r="CA44" s="14">
        <f t="shared" si="30"/>
        <v>1346988.7560112074</v>
      </c>
      <c r="CB44" s="14">
        <f t="shared" si="31"/>
        <v>1400250.0176164401</v>
      </c>
      <c r="CD44" s="13" t="s">
        <v>218</v>
      </c>
      <c r="CE44" s="13" t="s">
        <v>170</v>
      </c>
      <c r="CF44" s="13">
        <v>43</v>
      </c>
      <c r="CG44" s="13">
        <v>201801.769023261</v>
      </c>
      <c r="CH44" s="13">
        <v>53.823209063957499</v>
      </c>
      <c r="CI44" s="13">
        <v>3749.3447999999999</v>
      </c>
      <c r="CK44" s="13" t="s">
        <v>218</v>
      </c>
      <c r="CL44" s="13" t="s">
        <v>170</v>
      </c>
      <c r="CM44" s="14">
        <v>362181.49929447798</v>
      </c>
      <c r="CN44" s="13">
        <v>43</v>
      </c>
      <c r="CO44" s="14">
        <v>96.598613945638206</v>
      </c>
      <c r="CP44" s="14">
        <v>3749.3446800209699</v>
      </c>
      <c r="CT44" s="14"/>
      <c r="CU44" s="13">
        <v>2900000</v>
      </c>
      <c r="DC44" s="13">
        <v>319670</v>
      </c>
      <c r="DG44" s="13">
        <v>580000</v>
      </c>
      <c r="DJ44" s="13">
        <v>100000</v>
      </c>
      <c r="DK44" s="13">
        <v>265000</v>
      </c>
      <c r="DL44" s="13">
        <v>674224</v>
      </c>
      <c r="DR44" s="14">
        <f>1860467*CP44/SUM($CP$43:$CP$44)</f>
        <v>695928.37363539636</v>
      </c>
      <c r="DY44" s="14">
        <f>1307519*CP44/(SUM($CP$43:$CP$44))</f>
        <v>489092.02429679205</v>
      </c>
      <c r="DZ44" s="13">
        <f t="shared" si="46"/>
        <v>5534822.3736353964</v>
      </c>
      <c r="EA44" s="13">
        <f t="shared" si="32"/>
        <v>4231676.1198748108</v>
      </c>
      <c r="EB44" s="13">
        <f t="shared" si="33"/>
        <v>5.2453543965051662E-2</v>
      </c>
      <c r="EC44" s="13">
        <f t="shared" si="47"/>
        <v>1128.6441981245489</v>
      </c>
      <c r="EH44" s="13">
        <v>1500000</v>
      </c>
      <c r="EP44" s="13">
        <v>1500000</v>
      </c>
      <c r="EV44" s="13">
        <v>9338000</v>
      </c>
      <c r="EX44" s="13">
        <v>2440250</v>
      </c>
      <c r="EY44" s="13">
        <v>3121700</v>
      </c>
      <c r="EZ44" s="13">
        <v>2440250</v>
      </c>
      <c r="FM44" s="13">
        <f>28000000*CP44/(SUM($CP$43:$CP$44))</f>
        <v>10473711.418579904</v>
      </c>
      <c r="FO44" s="13">
        <f t="shared" si="48"/>
        <v>0</v>
      </c>
      <c r="FP44" s="13">
        <f t="shared" si="49"/>
        <v>0</v>
      </c>
      <c r="FQ44" s="13">
        <f t="shared" si="50"/>
        <v>0</v>
      </c>
      <c r="FR44" s="13">
        <f t="shared" si="51"/>
        <v>0</v>
      </c>
      <c r="FS44" s="13">
        <f t="shared" si="52"/>
        <v>0</v>
      </c>
      <c r="FT44" s="13">
        <f t="shared" si="53"/>
        <v>0</v>
      </c>
      <c r="FU44" s="13">
        <f t="shared" si="53"/>
        <v>0</v>
      </c>
      <c r="FV44" s="13">
        <f t="shared" si="53"/>
        <v>0</v>
      </c>
      <c r="FW44" s="13">
        <f t="shared" si="53"/>
        <v>0</v>
      </c>
      <c r="FX44" s="13">
        <f t="shared" si="54"/>
        <v>20340200</v>
      </c>
    </row>
    <row r="45" spans="1:180" s="8" customFormat="1" x14ac:dyDescent="0.3">
      <c r="A45" s="8">
        <v>44</v>
      </c>
      <c r="B45" s="8" t="s">
        <v>219</v>
      </c>
      <c r="C45" s="8" t="s">
        <v>220</v>
      </c>
      <c r="D45" s="13" t="s">
        <v>207</v>
      </c>
      <c r="F45" s="8">
        <f t="shared" si="41"/>
        <v>10</v>
      </c>
      <c r="G45" s="8">
        <f t="shared" si="45"/>
        <v>-53.007419693285996</v>
      </c>
      <c r="H45" s="8">
        <f>(2*EA45)/$F45/$CI45</f>
        <v>98.932707796401289</v>
      </c>
      <c r="I45" s="8">
        <f t="shared" si="7"/>
        <v>-0.5357926703307534</v>
      </c>
      <c r="J45" s="8">
        <f t="shared" si="1"/>
        <v>5</v>
      </c>
      <c r="K45" s="8">
        <f t="shared" si="8"/>
        <v>4</v>
      </c>
      <c r="M45" s="10" t="str">
        <f t="shared" si="9"/>
        <v>NaN</v>
      </c>
      <c r="N45" s="10" t="str">
        <f t="shared" si="10"/>
        <v>NaN</v>
      </c>
      <c r="O45" s="1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1"/>
      <c r="AL45" s="22">
        <v>3.2888721496165063E-2</v>
      </c>
      <c r="AM45" s="22">
        <v>2.8843039908195367E-2</v>
      </c>
      <c r="AN45" s="22">
        <v>2.3508826348185297E-2</v>
      </c>
      <c r="AO45" s="22">
        <v>1.727558717854083E-2</v>
      </c>
      <c r="AP45" s="22">
        <v>9.7904355801925469E-3</v>
      </c>
      <c r="AQ45" s="22">
        <v>1.8178580442596015E-3</v>
      </c>
      <c r="AR45" s="22">
        <v>-3.3449229627590116E-3</v>
      </c>
      <c r="AS45" s="22">
        <v>-1.1079319634054174E-3</v>
      </c>
      <c r="AT45" s="22">
        <v>4.8934098997499564E-3</v>
      </c>
      <c r="AU45" s="22">
        <v>1.5235248091937992E-2</v>
      </c>
      <c r="AV45" s="22">
        <v>1.6126764918219072E-2</v>
      </c>
      <c r="AW45" s="22">
        <v>2.1540722483505803E-2</v>
      </c>
      <c r="AX45" s="22">
        <v>2.7613026747848268E-2</v>
      </c>
      <c r="AY45" s="22">
        <v>2.6978579088403398E-2</v>
      </c>
      <c r="AZ45" s="22">
        <v>2.5079662791946955E-2</v>
      </c>
      <c r="BA45" s="22">
        <v>2.5870185947085789E-2</v>
      </c>
      <c r="BB45" s="22">
        <v>2.6893536703573639E-2</v>
      </c>
      <c r="BC45" s="22">
        <v>2.3026535336124088E-2</v>
      </c>
      <c r="BD45" s="22">
        <v>1.6693942729572031E-2</v>
      </c>
      <c r="BE45" s="22">
        <v>2.2786008601595631E-2</v>
      </c>
      <c r="BF45" s="22">
        <v>0</v>
      </c>
      <c r="BG45" s="11"/>
      <c r="BH45" s="10" t="str">
        <f t="shared" si="11"/>
        <v>NaN</v>
      </c>
      <c r="BI45" s="10" t="str">
        <f t="shared" si="12"/>
        <v>NaN</v>
      </c>
      <c r="BJ45" s="10" t="str">
        <f t="shared" si="13"/>
        <v>NaN</v>
      </c>
      <c r="BK45" s="10" t="str">
        <f t="shared" si="14"/>
        <v>NaN</v>
      </c>
      <c r="BL45" s="10" t="str">
        <f t="shared" si="15"/>
        <v>NaN</v>
      </c>
      <c r="BM45" s="10" t="str">
        <f t="shared" si="16"/>
        <v>NaN</v>
      </c>
      <c r="BN45" s="10" t="str">
        <f t="shared" si="17"/>
        <v>NaN</v>
      </c>
      <c r="BO45" s="10" t="str">
        <f t="shared" si="18"/>
        <v>NaN</v>
      </c>
      <c r="BP45" s="10" t="str">
        <f t="shared" si="19"/>
        <v>NaN</v>
      </c>
      <c r="BQ45" s="10" t="str">
        <f t="shared" si="20"/>
        <v>NaN</v>
      </c>
      <c r="BR45" s="10" t="str">
        <f t="shared" si="21"/>
        <v>NaN</v>
      </c>
      <c r="BS45" s="10" t="str">
        <f t="shared" si="22"/>
        <v>NaN</v>
      </c>
      <c r="BT45" s="10" t="str">
        <f t="shared" si="23"/>
        <v>NaN</v>
      </c>
      <c r="BU45" s="10" t="str">
        <f t="shared" si="24"/>
        <v>NaN</v>
      </c>
      <c r="BV45" s="10" t="str">
        <f t="shared" si="25"/>
        <v>NaN</v>
      </c>
      <c r="BW45" s="10" t="str">
        <f t="shared" si="26"/>
        <v>NaN</v>
      </c>
      <c r="BX45" s="10" t="str">
        <f t="shared" si="27"/>
        <v>NaN</v>
      </c>
      <c r="BY45" s="10" t="str">
        <f t="shared" si="28"/>
        <v>NaN</v>
      </c>
      <c r="BZ45" s="10" t="str">
        <f t="shared" si="29"/>
        <v>NaN</v>
      </c>
      <c r="CA45" s="10" t="str">
        <f t="shared" si="30"/>
        <v>NaN</v>
      </c>
      <c r="CB45" s="10" t="str">
        <f t="shared" si="31"/>
        <v>NaN</v>
      </c>
      <c r="CC45" s="12"/>
      <c r="CD45" s="13" t="s">
        <v>219</v>
      </c>
      <c r="CE45" s="13" t="s">
        <v>220</v>
      </c>
      <c r="CF45" s="13">
        <v>44</v>
      </c>
      <c r="CG45" s="13">
        <v>511036.17631638399</v>
      </c>
      <c r="CH45" s="13">
        <v>172.03241073812299</v>
      </c>
      <c r="CI45" s="13">
        <v>2970.5808000000002</v>
      </c>
      <c r="CJ45" s="11"/>
      <c r="CK45" s="13" t="s">
        <v>219</v>
      </c>
      <c r="CL45" s="13" t="s">
        <v>220</v>
      </c>
      <c r="CM45" s="10">
        <v>332858.13780506997</v>
      </c>
      <c r="CN45" s="13">
        <v>44</v>
      </c>
      <c r="CO45" s="10">
        <v>119.02499104483699</v>
      </c>
      <c r="CP45" s="10">
        <v>2796.5399105107199</v>
      </c>
      <c r="CQ45" s="11"/>
      <c r="CT45" s="10"/>
      <c r="DC45" s="8">
        <v>1186400</v>
      </c>
      <c r="DF45" s="8">
        <v>406000</v>
      </c>
      <c r="DI45" s="8">
        <v>96000</v>
      </c>
      <c r="DJ45" s="8">
        <v>83022</v>
      </c>
      <c r="DK45" s="8">
        <v>150530</v>
      </c>
      <c r="DR45" s="10"/>
      <c r="DZ45" s="8">
        <f t="shared" si="46"/>
        <v>1921952</v>
      </c>
      <c r="EA45" s="8">
        <f t="shared" si="32"/>
        <v>1469438.0113599999</v>
      </c>
      <c r="EB45" s="8">
        <f t="shared" si="33"/>
        <v>1.821435033054233E-2</v>
      </c>
      <c r="EC45" s="8">
        <f t="shared" si="47"/>
        <v>525.4486109199288</v>
      </c>
      <c r="ED45" s="12"/>
      <c r="FN45" s="12"/>
    </row>
    <row r="46" spans="1:180" x14ac:dyDescent="0.3">
      <c r="A46" s="8">
        <v>45</v>
      </c>
      <c r="B46" s="13" t="s">
        <v>221</v>
      </c>
      <c r="C46" s="13" t="s">
        <v>222</v>
      </c>
      <c r="D46" s="13" t="s">
        <v>207</v>
      </c>
      <c r="F46" s="13">
        <f t="shared" si="41"/>
        <v>10</v>
      </c>
      <c r="G46" s="13">
        <f t="shared" si="45"/>
        <v>-42.604359485716998</v>
      </c>
      <c r="H46" s="13">
        <f>(2*EA46)/$F46/$CI46</f>
        <v>0</v>
      </c>
      <c r="I46" s="13" t="str">
        <f t="shared" si="7"/>
        <v>NaN</v>
      </c>
      <c r="J46" s="13">
        <f t="shared" si="1"/>
        <v>0</v>
      </c>
      <c r="K46" s="13" t="str">
        <f t="shared" si="8"/>
        <v>NaN</v>
      </c>
      <c r="M46" s="14">
        <f t="shared" si="9"/>
        <v>317171.22335525218</v>
      </c>
      <c r="N46" s="14">
        <f t="shared" si="10"/>
        <v>307786.66016004916</v>
      </c>
      <c r="P46" s="14">
        <v>110467.93282482499</v>
      </c>
      <c r="Q46" s="14">
        <v>125107.772872309</v>
      </c>
      <c r="R46" s="14">
        <v>160300.03959818199</v>
      </c>
      <c r="S46" s="14">
        <v>206874.486437441</v>
      </c>
      <c r="T46" s="14">
        <v>255038.04467958299</v>
      </c>
      <c r="U46" s="14">
        <v>307755.90260558302</v>
      </c>
      <c r="V46" s="14">
        <v>352635.54265493399</v>
      </c>
      <c r="W46" s="14">
        <v>329003.94095828698</v>
      </c>
      <c r="X46" s="14">
        <v>336135.706254063</v>
      </c>
      <c r="Y46" s="14">
        <v>302008.866683423</v>
      </c>
      <c r="Z46" s="14">
        <v>282993.73118608998</v>
      </c>
      <c r="AA46" s="14">
        <v>262378.09195106803</v>
      </c>
      <c r="AB46" s="14">
        <v>259335.200514247</v>
      </c>
      <c r="AC46" s="14">
        <v>264549.87760849501</v>
      </c>
      <c r="AD46" s="14">
        <v>273368.25035128201</v>
      </c>
      <c r="AE46" s="14">
        <v>275029.76221307099</v>
      </c>
      <c r="AF46" s="14">
        <v>282428.96847720002</v>
      </c>
      <c r="AG46" s="14">
        <v>293796.06358727702</v>
      </c>
      <c r="AH46" s="14">
        <v>304277.33060246101</v>
      </c>
      <c r="AI46" s="14">
        <v>316802.80284252798</v>
      </c>
      <c r="AJ46" s="14">
        <v>341267.44096767902</v>
      </c>
      <c r="AL46" s="23">
        <v>3.2888721496165063E-2</v>
      </c>
      <c r="AM46" s="23">
        <v>2.8843039908195367E-2</v>
      </c>
      <c r="AN46" s="23">
        <v>2.3508826348185297E-2</v>
      </c>
      <c r="AO46" s="23">
        <v>1.727558717854083E-2</v>
      </c>
      <c r="AP46" s="23">
        <v>9.7904355801925469E-3</v>
      </c>
      <c r="AQ46" s="23">
        <v>1.8178580442596015E-3</v>
      </c>
      <c r="AR46" s="23">
        <v>-3.3449229627590116E-3</v>
      </c>
      <c r="AS46" s="23">
        <v>-1.1079319634054174E-3</v>
      </c>
      <c r="AT46" s="23">
        <v>4.8934098997499564E-3</v>
      </c>
      <c r="AU46" s="23">
        <v>1.5235248091937992E-2</v>
      </c>
      <c r="AV46" s="23">
        <v>1.6126764918219072E-2</v>
      </c>
      <c r="AW46" s="23">
        <v>2.1540722483505803E-2</v>
      </c>
      <c r="AX46" s="23">
        <v>2.7613026747848268E-2</v>
      </c>
      <c r="AY46" s="23">
        <v>2.6978579088403398E-2</v>
      </c>
      <c r="AZ46" s="23">
        <v>2.5079662791946955E-2</v>
      </c>
      <c r="BA46" s="23">
        <v>2.5870185947085789E-2</v>
      </c>
      <c r="BB46" s="23">
        <v>2.6893536703573639E-2</v>
      </c>
      <c r="BC46" s="23">
        <v>2.3026535336124088E-2</v>
      </c>
      <c r="BD46" s="23">
        <v>1.6693942729572031E-2</v>
      </c>
      <c r="BE46" s="23">
        <v>2.2786008601595631E-2</v>
      </c>
      <c r="BF46" s="23">
        <v>0</v>
      </c>
      <c r="BH46" s="14">
        <f t="shared" si="11"/>
        <v>211011.89206264121</v>
      </c>
      <c r="BI46" s="14">
        <f t="shared" si="12"/>
        <v>214742.32346011582</v>
      </c>
      <c r="BJ46" s="14">
        <f t="shared" si="13"/>
        <v>243546.72240181745</v>
      </c>
      <c r="BK46" s="14">
        <f t="shared" si="14"/>
        <v>276798.35987023695</v>
      </c>
      <c r="BL46" s="14">
        <f t="shared" si="15"/>
        <v>298060.90524716867</v>
      </c>
      <c r="BM46" s="14">
        <f t="shared" si="16"/>
        <v>316255.38287739811</v>
      </c>
      <c r="BN46" s="14">
        <f t="shared" si="17"/>
        <v>336476.27802211588</v>
      </c>
      <c r="BO46" s="14">
        <f t="shared" si="18"/>
        <v>324296.63239497272</v>
      </c>
      <c r="BP46" s="14">
        <f t="shared" si="19"/>
        <v>356413.89399287768</v>
      </c>
      <c r="BQ46" s="14">
        <f t="shared" si="20"/>
        <v>356659.05789696093</v>
      </c>
      <c r="BR46" s="14">
        <f t="shared" si="21"/>
        <v>332089.94338900468</v>
      </c>
      <c r="BS46" s="14">
        <f t="shared" si="22"/>
        <v>317854.76393690915</v>
      </c>
      <c r="BT46" s="14">
        <f t="shared" si="23"/>
        <v>322476.65297116054</v>
      </c>
      <c r="BU46" s="14">
        <f t="shared" si="24"/>
        <v>318740.50810845016</v>
      </c>
      <c r="BV46" s="14">
        <f t="shared" si="25"/>
        <v>317171.22335525218</v>
      </c>
      <c r="BW46" s="14">
        <f t="shared" si="26"/>
        <v>312494.03771051799</v>
      </c>
      <c r="BX46" s="14">
        <f t="shared" si="27"/>
        <v>314058.76711324451</v>
      </c>
      <c r="BY46" s="14">
        <f t="shared" si="28"/>
        <v>314562.29772828479</v>
      </c>
      <c r="BZ46" s="14">
        <f t="shared" si="29"/>
        <v>314521.30562111735</v>
      </c>
      <c r="CA46" s="14">
        <f t="shared" si="30"/>
        <v>324021.47423310741</v>
      </c>
      <c r="CB46" s="14">
        <f t="shared" si="31"/>
        <v>341267.44096767902</v>
      </c>
      <c r="CD46" s="13" t="s">
        <v>221</v>
      </c>
      <c r="CE46" s="13" t="s">
        <v>222</v>
      </c>
      <c r="CF46" s="13">
        <v>45</v>
      </c>
      <c r="CG46" s="13">
        <v>870867.27007651306</v>
      </c>
      <c r="CH46" s="13">
        <v>451.94180369000202</v>
      </c>
      <c r="CI46" s="13">
        <v>1926.9456</v>
      </c>
      <c r="CK46" s="13" t="s">
        <v>221</v>
      </c>
      <c r="CL46" s="13" t="s">
        <v>222</v>
      </c>
      <c r="CM46" s="14">
        <v>892825.84665081603</v>
      </c>
      <c r="CN46" s="13">
        <v>45</v>
      </c>
      <c r="CO46" s="14">
        <v>409.33744420428502</v>
      </c>
      <c r="CP46" s="14">
        <v>2181.1487302032401</v>
      </c>
      <c r="CT46" s="14"/>
      <c r="DZ46" s="13">
        <f t="shared" si="46"/>
        <v>0</v>
      </c>
      <c r="EA46" s="13">
        <f t="shared" si="32"/>
        <v>0</v>
      </c>
      <c r="EB46" s="13">
        <f t="shared" si="33"/>
        <v>0</v>
      </c>
      <c r="EC46" s="13">
        <f t="shared" si="47"/>
        <v>0</v>
      </c>
    </row>
    <row r="47" spans="1:180" s="8" customFormat="1" x14ac:dyDescent="0.3">
      <c r="A47" s="8">
        <v>46</v>
      </c>
      <c r="B47" s="8" t="s">
        <v>223</v>
      </c>
      <c r="C47" s="8" t="s">
        <v>224</v>
      </c>
      <c r="D47" s="13" t="s">
        <v>207</v>
      </c>
      <c r="F47" s="8">
        <f t="shared" si="41"/>
        <v>10</v>
      </c>
      <c r="G47" s="8">
        <f t="shared" si="45"/>
        <v>138.10804511186998</v>
      </c>
      <c r="H47" s="8">
        <f>(2*EA47)/$F47/$CI47</f>
        <v>0</v>
      </c>
      <c r="I47" s="8">
        <f t="shared" si="7"/>
        <v>1</v>
      </c>
      <c r="J47" s="8">
        <f t="shared" si="1"/>
        <v>0</v>
      </c>
      <c r="K47" s="8" t="str">
        <f t="shared" si="8"/>
        <v>NaN</v>
      </c>
      <c r="M47" s="10" t="str">
        <f t="shared" si="9"/>
        <v>NaN</v>
      </c>
      <c r="N47" s="10" t="str">
        <f t="shared" si="10"/>
        <v>NaN</v>
      </c>
      <c r="O47" s="1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1"/>
      <c r="AL47" s="22">
        <v>3.2888721496165063E-2</v>
      </c>
      <c r="AM47" s="22">
        <v>2.8843039908195367E-2</v>
      </c>
      <c r="AN47" s="22">
        <v>2.3508826348185297E-2</v>
      </c>
      <c r="AO47" s="22">
        <v>1.727558717854083E-2</v>
      </c>
      <c r="AP47" s="22">
        <v>9.7904355801925469E-3</v>
      </c>
      <c r="AQ47" s="22">
        <v>1.8178580442596015E-3</v>
      </c>
      <c r="AR47" s="22">
        <v>-3.3449229627590116E-3</v>
      </c>
      <c r="AS47" s="22">
        <v>-1.1079319634054174E-3</v>
      </c>
      <c r="AT47" s="22">
        <v>4.8934098997499564E-3</v>
      </c>
      <c r="AU47" s="22">
        <v>1.5235248091937992E-2</v>
      </c>
      <c r="AV47" s="22">
        <v>1.6126764918219072E-2</v>
      </c>
      <c r="AW47" s="22">
        <v>2.1540722483505803E-2</v>
      </c>
      <c r="AX47" s="22">
        <v>2.7613026747848268E-2</v>
      </c>
      <c r="AY47" s="22">
        <v>2.6978579088403398E-2</v>
      </c>
      <c r="AZ47" s="22">
        <v>2.5079662791946955E-2</v>
      </c>
      <c r="BA47" s="22">
        <v>2.5870185947085789E-2</v>
      </c>
      <c r="BB47" s="22">
        <v>2.6893536703573639E-2</v>
      </c>
      <c r="BC47" s="22">
        <v>2.3026535336124088E-2</v>
      </c>
      <c r="BD47" s="22">
        <v>1.6693942729572031E-2</v>
      </c>
      <c r="BE47" s="22">
        <v>2.2786008601595631E-2</v>
      </c>
      <c r="BF47" s="22">
        <v>0</v>
      </c>
      <c r="BG47" s="11"/>
      <c r="BH47" s="10" t="str">
        <f t="shared" si="11"/>
        <v>NaN</v>
      </c>
      <c r="BI47" s="10" t="str">
        <f t="shared" si="12"/>
        <v>NaN</v>
      </c>
      <c r="BJ47" s="10" t="str">
        <f t="shared" si="13"/>
        <v>NaN</v>
      </c>
      <c r="BK47" s="10" t="str">
        <f t="shared" si="14"/>
        <v>NaN</v>
      </c>
      <c r="BL47" s="10" t="str">
        <f t="shared" si="15"/>
        <v>NaN</v>
      </c>
      <c r="BM47" s="10" t="str">
        <f t="shared" si="16"/>
        <v>NaN</v>
      </c>
      <c r="BN47" s="10" t="str">
        <f t="shared" si="17"/>
        <v>NaN</v>
      </c>
      <c r="BO47" s="10" t="str">
        <f t="shared" si="18"/>
        <v>NaN</v>
      </c>
      <c r="BP47" s="10" t="str">
        <f t="shared" si="19"/>
        <v>NaN</v>
      </c>
      <c r="BQ47" s="10" t="str">
        <f t="shared" si="20"/>
        <v>NaN</v>
      </c>
      <c r="BR47" s="10" t="str">
        <f t="shared" si="21"/>
        <v>NaN</v>
      </c>
      <c r="BS47" s="10" t="str">
        <f t="shared" si="22"/>
        <v>NaN</v>
      </c>
      <c r="BT47" s="10" t="str">
        <f t="shared" si="23"/>
        <v>NaN</v>
      </c>
      <c r="BU47" s="10" t="str">
        <f t="shared" si="24"/>
        <v>NaN</v>
      </c>
      <c r="BV47" s="10" t="str">
        <f t="shared" si="25"/>
        <v>NaN</v>
      </c>
      <c r="BW47" s="10" t="str">
        <f t="shared" si="26"/>
        <v>NaN</v>
      </c>
      <c r="BX47" s="10" t="str">
        <f t="shared" si="27"/>
        <v>NaN</v>
      </c>
      <c r="BY47" s="10" t="str">
        <f t="shared" si="28"/>
        <v>NaN</v>
      </c>
      <c r="BZ47" s="10" t="str">
        <f t="shared" si="29"/>
        <v>NaN</v>
      </c>
      <c r="CA47" s="10" t="str">
        <f t="shared" si="30"/>
        <v>NaN</v>
      </c>
      <c r="CB47" s="10" t="str">
        <f t="shared" si="31"/>
        <v>NaN</v>
      </c>
      <c r="CC47" s="12"/>
      <c r="CD47" s="13" t="s">
        <v>223</v>
      </c>
      <c r="CE47" s="13" t="s">
        <v>224</v>
      </c>
      <c r="CF47" s="13">
        <v>46</v>
      </c>
      <c r="CG47" s="13">
        <v>608515.85551339702</v>
      </c>
      <c r="CH47" s="13">
        <v>202.13051488472101</v>
      </c>
      <c r="CI47" s="13">
        <v>3010.5095999999999</v>
      </c>
      <c r="CJ47" s="11"/>
      <c r="CK47" s="13" t="s">
        <v>223</v>
      </c>
      <c r="CL47" s="13" t="s">
        <v>224</v>
      </c>
      <c r="CM47" s="14">
        <v>1024291.41838258</v>
      </c>
      <c r="CN47" s="13">
        <v>46</v>
      </c>
      <c r="CO47" s="14">
        <v>340.23855999659099</v>
      </c>
      <c r="CP47" s="14">
        <v>3010.5095036636899</v>
      </c>
      <c r="CQ47" s="11"/>
      <c r="CT47" s="10"/>
      <c r="DZ47" s="8">
        <f t="shared" si="46"/>
        <v>0</v>
      </c>
      <c r="EA47" s="8">
        <f t="shared" si="32"/>
        <v>0</v>
      </c>
      <c r="EB47" s="8">
        <f t="shared" si="33"/>
        <v>0</v>
      </c>
      <c r="EC47" s="8">
        <f t="shared" si="47"/>
        <v>0</v>
      </c>
      <c r="ED47" s="12"/>
      <c r="FN47" s="12"/>
    </row>
    <row r="48" spans="1:180" x14ac:dyDescent="0.3">
      <c r="A48" s="8">
        <v>47</v>
      </c>
      <c r="B48" s="13" t="s">
        <v>225</v>
      </c>
      <c r="C48" s="13" t="s">
        <v>226</v>
      </c>
      <c r="D48" s="13" t="s">
        <v>207</v>
      </c>
      <c r="F48" s="13">
        <f t="shared" si="41"/>
        <v>10</v>
      </c>
      <c r="G48" s="13">
        <f t="shared" si="45"/>
        <v>83.566986906080004</v>
      </c>
      <c r="H48" s="13">
        <f>(2*EA48)/$F48/$CI48</f>
        <v>0</v>
      </c>
      <c r="I48" s="13">
        <f t="shared" si="7"/>
        <v>1</v>
      </c>
      <c r="J48" s="13">
        <f t="shared" si="1"/>
        <v>0</v>
      </c>
      <c r="K48" s="13" t="str">
        <f t="shared" si="8"/>
        <v>NaN</v>
      </c>
      <c r="M48" s="14" t="str">
        <f t="shared" si="9"/>
        <v>NaN</v>
      </c>
      <c r="N48" s="14" t="str">
        <f t="shared" si="10"/>
        <v>NaN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L48" s="23">
        <v>3.2888721496165063E-2</v>
      </c>
      <c r="AM48" s="23">
        <v>2.8843039908195367E-2</v>
      </c>
      <c r="AN48" s="23">
        <v>2.3508826348185297E-2</v>
      </c>
      <c r="AO48" s="23">
        <v>1.727558717854083E-2</v>
      </c>
      <c r="AP48" s="23">
        <v>9.7904355801925469E-3</v>
      </c>
      <c r="AQ48" s="23">
        <v>1.8178580442596015E-3</v>
      </c>
      <c r="AR48" s="23">
        <v>-3.3449229627590116E-3</v>
      </c>
      <c r="AS48" s="23">
        <v>-1.1079319634054174E-3</v>
      </c>
      <c r="AT48" s="23">
        <v>4.8934098997499564E-3</v>
      </c>
      <c r="AU48" s="23">
        <v>1.5235248091937992E-2</v>
      </c>
      <c r="AV48" s="23">
        <v>1.6126764918219072E-2</v>
      </c>
      <c r="AW48" s="23">
        <v>2.1540722483505803E-2</v>
      </c>
      <c r="AX48" s="23">
        <v>2.7613026747848268E-2</v>
      </c>
      <c r="AY48" s="23">
        <v>2.6978579088403398E-2</v>
      </c>
      <c r="AZ48" s="23">
        <v>2.5079662791946955E-2</v>
      </c>
      <c r="BA48" s="23">
        <v>2.5870185947085789E-2</v>
      </c>
      <c r="BB48" s="23">
        <v>2.6893536703573639E-2</v>
      </c>
      <c r="BC48" s="23">
        <v>2.3026535336124088E-2</v>
      </c>
      <c r="BD48" s="23">
        <v>1.6693942729572031E-2</v>
      </c>
      <c r="BE48" s="23">
        <v>2.2786008601595631E-2</v>
      </c>
      <c r="BF48" s="23">
        <v>0</v>
      </c>
      <c r="BH48" s="14" t="str">
        <f t="shared" si="11"/>
        <v>NaN</v>
      </c>
      <c r="BI48" s="14" t="str">
        <f t="shared" si="12"/>
        <v>NaN</v>
      </c>
      <c r="BJ48" s="14" t="str">
        <f t="shared" si="13"/>
        <v>NaN</v>
      </c>
      <c r="BK48" s="14" t="str">
        <f t="shared" si="14"/>
        <v>NaN</v>
      </c>
      <c r="BL48" s="14" t="str">
        <f t="shared" si="15"/>
        <v>NaN</v>
      </c>
      <c r="BM48" s="14" t="str">
        <f t="shared" si="16"/>
        <v>NaN</v>
      </c>
      <c r="BN48" s="14" t="str">
        <f t="shared" si="17"/>
        <v>NaN</v>
      </c>
      <c r="BO48" s="14" t="str">
        <f t="shared" si="18"/>
        <v>NaN</v>
      </c>
      <c r="BP48" s="14" t="str">
        <f t="shared" si="19"/>
        <v>NaN</v>
      </c>
      <c r="BQ48" s="14" t="str">
        <f t="shared" si="20"/>
        <v>NaN</v>
      </c>
      <c r="BR48" s="14" t="str">
        <f t="shared" si="21"/>
        <v>NaN</v>
      </c>
      <c r="BS48" s="14" t="str">
        <f t="shared" si="22"/>
        <v>NaN</v>
      </c>
      <c r="BT48" s="14" t="str">
        <f t="shared" si="23"/>
        <v>NaN</v>
      </c>
      <c r="BU48" s="14" t="str">
        <f t="shared" si="24"/>
        <v>NaN</v>
      </c>
      <c r="BV48" s="14" t="str">
        <f t="shared" si="25"/>
        <v>NaN</v>
      </c>
      <c r="BW48" s="14" t="str">
        <f t="shared" si="26"/>
        <v>NaN</v>
      </c>
      <c r="BX48" s="14" t="str">
        <f t="shared" si="27"/>
        <v>NaN</v>
      </c>
      <c r="BY48" s="14" t="str">
        <f t="shared" si="28"/>
        <v>NaN</v>
      </c>
      <c r="BZ48" s="14" t="str">
        <f t="shared" si="29"/>
        <v>NaN</v>
      </c>
      <c r="CA48" s="14" t="str">
        <f t="shared" si="30"/>
        <v>NaN</v>
      </c>
      <c r="CB48" s="14" t="str">
        <f t="shared" si="31"/>
        <v>NaN</v>
      </c>
      <c r="CD48" s="13" t="s">
        <v>227</v>
      </c>
      <c r="CE48" s="13" t="s">
        <v>226</v>
      </c>
      <c r="CF48" s="13">
        <v>47</v>
      </c>
      <c r="CG48" s="13">
        <v>70710.241299182104</v>
      </c>
      <c r="CH48" s="13">
        <v>126.83924583945399</v>
      </c>
      <c r="CI48" s="13">
        <v>557.47919999999999</v>
      </c>
      <c r="CK48" s="13" t="s">
        <v>225</v>
      </c>
      <c r="CL48" s="13" t="s">
        <v>226</v>
      </c>
      <c r="CM48" s="14">
        <v>117297.094552487</v>
      </c>
      <c r="CN48" s="13">
        <v>47</v>
      </c>
      <c r="CO48" s="14">
        <v>210.406232745534</v>
      </c>
      <c r="CP48" s="14">
        <v>557.47918216066603</v>
      </c>
      <c r="CT48" s="14"/>
      <c r="DZ48" s="13">
        <f t="shared" si="46"/>
        <v>0</v>
      </c>
      <c r="EA48" s="13">
        <f t="shared" si="32"/>
        <v>0</v>
      </c>
      <c r="EB48" s="13">
        <f t="shared" si="33"/>
        <v>0</v>
      </c>
      <c r="EC48" s="13">
        <f t="shared" si="47"/>
        <v>0</v>
      </c>
    </row>
    <row r="49" spans="1:170" s="8" customFormat="1" x14ac:dyDescent="0.3">
      <c r="A49" s="8">
        <v>48</v>
      </c>
      <c r="B49" s="8" t="s">
        <v>208</v>
      </c>
      <c r="C49" s="8" t="s">
        <v>228</v>
      </c>
      <c r="D49" s="13" t="s">
        <v>207</v>
      </c>
      <c r="F49" s="8">
        <f t="shared" si="41"/>
        <v>10</v>
      </c>
      <c r="G49" s="8">
        <f t="shared" si="45"/>
        <v>19.321749086701502</v>
      </c>
      <c r="H49" s="8">
        <f>(2*EA49)/$F49/$CI49</f>
        <v>107.02264653648686</v>
      </c>
      <c r="I49" s="8">
        <f t="shared" si="7"/>
        <v>0.1805388832364018</v>
      </c>
      <c r="J49" s="8">
        <f t="shared" si="1"/>
        <v>11</v>
      </c>
      <c r="K49" s="8">
        <f t="shared" si="8"/>
        <v>1.8181818181818181</v>
      </c>
      <c r="M49" s="10">
        <f t="shared" si="9"/>
        <v>372977.65839779598</v>
      </c>
      <c r="N49" s="10">
        <f t="shared" si="10"/>
        <v>369283.28787597403</v>
      </c>
      <c r="O49" s="11"/>
      <c r="P49" s="10">
        <v>158397.57292410501</v>
      </c>
      <c r="Q49" s="10">
        <v>177136.006368381</v>
      </c>
      <c r="R49" s="10">
        <v>202463.16037648101</v>
      </c>
      <c r="S49" s="10">
        <v>248144.32908006501</v>
      </c>
      <c r="T49" s="10">
        <v>305356.726345086</v>
      </c>
      <c r="U49" s="10">
        <v>362953.74601237802</v>
      </c>
      <c r="V49" s="10">
        <v>404254.920242819</v>
      </c>
      <c r="W49" s="10">
        <v>391961.08335010702</v>
      </c>
      <c r="X49" s="10">
        <v>387587.95437936898</v>
      </c>
      <c r="Y49" s="10">
        <v>348222.91767497698</v>
      </c>
      <c r="Z49" s="10">
        <v>341219.24949498998</v>
      </c>
      <c r="AA49" s="10">
        <v>322510.98233814101</v>
      </c>
      <c r="AB49" s="10">
        <v>314339.39537528402</v>
      </c>
      <c r="AC49" s="10">
        <v>314507.278762398</v>
      </c>
      <c r="AD49" s="10">
        <v>316672.580606959</v>
      </c>
      <c r="AE49" s="10">
        <v>318488.36093586299</v>
      </c>
      <c r="AF49" s="10">
        <v>332504.46745366498</v>
      </c>
      <c r="AG49" s="10">
        <v>339700.330689436</v>
      </c>
      <c r="AH49" s="10">
        <v>356547.009298586</v>
      </c>
      <c r="AI49" s="10">
        <v>374968.60728391499</v>
      </c>
      <c r="AJ49" s="10">
        <v>408851.95899910002</v>
      </c>
      <c r="AK49" s="11"/>
      <c r="AL49" s="22">
        <v>3.2888721496165063E-2</v>
      </c>
      <c r="AM49" s="22">
        <v>2.8843039908195367E-2</v>
      </c>
      <c r="AN49" s="22">
        <v>2.3508826348185297E-2</v>
      </c>
      <c r="AO49" s="22">
        <v>1.727558717854083E-2</v>
      </c>
      <c r="AP49" s="22">
        <v>9.7904355801925469E-3</v>
      </c>
      <c r="AQ49" s="22">
        <v>1.8178580442596015E-3</v>
      </c>
      <c r="AR49" s="22">
        <v>-3.3449229627590116E-3</v>
      </c>
      <c r="AS49" s="22">
        <v>-1.1079319634054174E-3</v>
      </c>
      <c r="AT49" s="22">
        <v>4.8934098997499564E-3</v>
      </c>
      <c r="AU49" s="22">
        <v>1.5235248091937992E-2</v>
      </c>
      <c r="AV49" s="22">
        <v>1.6126764918219072E-2</v>
      </c>
      <c r="AW49" s="22">
        <v>2.1540722483505803E-2</v>
      </c>
      <c r="AX49" s="22">
        <v>2.7613026747848268E-2</v>
      </c>
      <c r="AY49" s="22">
        <v>2.6978579088403398E-2</v>
      </c>
      <c r="AZ49" s="22">
        <v>2.5079662791946955E-2</v>
      </c>
      <c r="BA49" s="22">
        <v>2.5870185947085789E-2</v>
      </c>
      <c r="BB49" s="22">
        <v>2.6893536703573639E-2</v>
      </c>
      <c r="BC49" s="22">
        <v>2.3026535336124088E-2</v>
      </c>
      <c r="BD49" s="22">
        <v>1.6693942729572031E-2</v>
      </c>
      <c r="BE49" s="22">
        <v>2.2786008601595631E-2</v>
      </c>
      <c r="BF49" s="22">
        <v>0</v>
      </c>
      <c r="BG49" s="11"/>
      <c r="BH49" s="10">
        <f t="shared" si="11"/>
        <v>302565.37536415644</v>
      </c>
      <c r="BI49" s="10">
        <f t="shared" si="12"/>
        <v>304046.63677304867</v>
      </c>
      <c r="BJ49" s="10">
        <f t="shared" si="13"/>
        <v>307605.90727492684</v>
      </c>
      <c r="BK49" s="10">
        <f t="shared" si="14"/>
        <v>332017.46857862541</v>
      </c>
      <c r="BL49" s="10">
        <f t="shared" si="15"/>
        <v>356867.94255372707</v>
      </c>
      <c r="BM49" s="10">
        <f t="shared" si="16"/>
        <v>372977.65839779598</v>
      </c>
      <c r="BN49" s="10">
        <f t="shared" si="17"/>
        <v>385730.23556089308</v>
      </c>
      <c r="BO49" s="10">
        <f t="shared" si="18"/>
        <v>386352.99926830019</v>
      </c>
      <c r="BP49" s="10">
        <f t="shared" si="19"/>
        <v>410970.12163495785</v>
      </c>
      <c r="BQ49" s="10">
        <f t="shared" si="20"/>
        <v>411235.79953126365</v>
      </c>
      <c r="BR49" s="10">
        <f t="shared" si="21"/>
        <v>400416.93069701362</v>
      </c>
      <c r="BS49" s="10">
        <f t="shared" si="22"/>
        <v>390702.02620906435</v>
      </c>
      <c r="BT49" s="10">
        <f t="shared" si="23"/>
        <v>390872.95483449468</v>
      </c>
      <c r="BU49" s="10">
        <f t="shared" si="24"/>
        <v>378931.22742202203</v>
      </c>
      <c r="BV49" s="10">
        <f t="shared" si="25"/>
        <v>367414.39309469122</v>
      </c>
      <c r="BW49" s="10">
        <f t="shared" si="26"/>
        <v>361872.52271100791</v>
      </c>
      <c r="BX49" s="10">
        <f t="shared" si="27"/>
        <v>369742.32378210907</v>
      </c>
      <c r="BY49" s="10">
        <f t="shared" si="28"/>
        <v>363711.19223312376</v>
      </c>
      <c r="BZ49" s="10">
        <f t="shared" si="29"/>
        <v>368550.72528031748</v>
      </c>
      <c r="CA49" s="10">
        <f t="shared" si="30"/>
        <v>383512.6451948146</v>
      </c>
      <c r="CB49" s="10">
        <f t="shared" si="31"/>
        <v>408851.95899910002</v>
      </c>
      <c r="CC49" s="12"/>
      <c r="CD49" s="13" t="s">
        <v>208</v>
      </c>
      <c r="CE49" s="13" t="s">
        <v>228</v>
      </c>
      <c r="CF49" s="13">
        <v>48</v>
      </c>
      <c r="CG49" s="13">
        <v>571622.41790778097</v>
      </c>
      <c r="CH49" s="13">
        <v>91.402750441354499</v>
      </c>
      <c r="CI49" s="13">
        <v>6253.8864000000003</v>
      </c>
      <c r="CJ49" s="11"/>
      <c r="CK49" s="13" t="s">
        <v>208</v>
      </c>
      <c r="CL49" s="13" t="s">
        <v>228</v>
      </c>
      <c r="CM49" s="14">
        <v>692458.41958664602</v>
      </c>
      <c r="CN49" s="13">
        <v>48</v>
      </c>
      <c r="CO49" s="14">
        <v>110.724499528056</v>
      </c>
      <c r="CP49" s="14">
        <v>6253.8861998756402</v>
      </c>
      <c r="CQ49" s="11"/>
      <c r="CT49" s="10"/>
      <c r="CU49" s="8">
        <f>267000*$CP49/SUM($CP$49:$CP$51)</f>
        <v>171776.80923115526</v>
      </c>
      <c r="CV49" s="8">
        <f>290000*$CP49/SUM($CP$49:$CP$51)</f>
        <v>186574.06246080532</v>
      </c>
      <c r="CX49" s="8">
        <f>800673*$CP49/SUM($CP$49:$CP$51)</f>
        <v>515120.04935407027</v>
      </c>
      <c r="DA49" s="8">
        <f>230000*$CP49/SUM($CP$49:$CP$51)</f>
        <v>147972.53229650078</v>
      </c>
      <c r="DC49" s="8">
        <v>126000</v>
      </c>
      <c r="DD49" s="8">
        <f>425000*$CP49/SUM($CP$49:$CP$51)</f>
        <v>273427.50533049053</v>
      </c>
      <c r="DG49" s="8">
        <f>440000*$CP49/SUM($CP$49:$CP$51)</f>
        <v>283077.88787156669</v>
      </c>
      <c r="DI49" s="8">
        <f>770000*$CP49/SUM($CP$49:$CP$51)</f>
        <v>495386.30377524171</v>
      </c>
      <c r="DM49" s="8">
        <f>585000*$CP49/SUM($CP$49:$CP$51)</f>
        <v>376364.91910196934</v>
      </c>
      <c r="DR49" s="10">
        <f>400000*$CP49/SUM($CP$49:$CP$51)</f>
        <v>257343.53442869699</v>
      </c>
      <c r="DU49" s="8">
        <f>2400000*$CP49/SUM($CP$49:$CP$51)</f>
        <v>1544061.206572182</v>
      </c>
      <c r="DZ49" s="8">
        <f t="shared" si="46"/>
        <v>4377104.8104226794</v>
      </c>
      <c r="EA49" s="8">
        <f t="shared" si="32"/>
        <v>3346537.3683327115</v>
      </c>
      <c r="EB49" s="8">
        <f t="shared" si="33"/>
        <v>4.1481847856003042E-2</v>
      </c>
      <c r="EC49" s="8">
        <f t="shared" si="47"/>
        <v>535.11324980605787</v>
      </c>
      <c r="ED49" s="12"/>
      <c r="FN49" s="12"/>
    </row>
    <row r="50" spans="1:170" s="8" customFormat="1" x14ac:dyDescent="0.3">
      <c r="A50" s="8">
        <v>49</v>
      </c>
      <c r="B50" s="8" t="s">
        <v>227</v>
      </c>
      <c r="C50" s="8" t="s">
        <v>226</v>
      </c>
      <c r="D50" s="13" t="s">
        <v>207</v>
      </c>
      <c r="F50" s="8">
        <f t="shared" si="41"/>
        <v>10</v>
      </c>
      <c r="G50" s="8">
        <f t="shared" si="45"/>
        <v>104.52033493749491</v>
      </c>
      <c r="H50" s="8">
        <f>(2*EA50)/$F50/$CI50</f>
        <v>210.70903813108373</v>
      </c>
      <c r="I50" s="8">
        <f t="shared" si="7"/>
        <v>0.49604106147773308</v>
      </c>
      <c r="J50" s="8">
        <f t="shared" si="1"/>
        <v>16</v>
      </c>
      <c r="K50" s="8">
        <f t="shared" si="8"/>
        <v>1.25</v>
      </c>
      <c r="M50" s="10" t="str">
        <f t="shared" si="9"/>
        <v>NaN</v>
      </c>
      <c r="N50" s="10" t="str">
        <f t="shared" si="10"/>
        <v>NaN</v>
      </c>
      <c r="O50" s="1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1"/>
      <c r="AL50" s="22">
        <v>3.2888721496165063E-2</v>
      </c>
      <c r="AM50" s="22">
        <v>2.8843039908195367E-2</v>
      </c>
      <c r="AN50" s="22">
        <v>2.3508826348185297E-2</v>
      </c>
      <c r="AO50" s="22">
        <v>1.727558717854083E-2</v>
      </c>
      <c r="AP50" s="22">
        <v>9.7904355801925469E-3</v>
      </c>
      <c r="AQ50" s="22">
        <v>1.8178580442596015E-3</v>
      </c>
      <c r="AR50" s="22">
        <v>-3.3449229627590116E-3</v>
      </c>
      <c r="AS50" s="22">
        <v>-1.1079319634054174E-3</v>
      </c>
      <c r="AT50" s="22">
        <v>4.8934098997499564E-3</v>
      </c>
      <c r="AU50" s="22">
        <v>1.5235248091937992E-2</v>
      </c>
      <c r="AV50" s="22">
        <v>1.6126764918219072E-2</v>
      </c>
      <c r="AW50" s="22">
        <v>2.1540722483505803E-2</v>
      </c>
      <c r="AX50" s="22">
        <v>2.7613026747848268E-2</v>
      </c>
      <c r="AY50" s="22">
        <v>2.6978579088403398E-2</v>
      </c>
      <c r="AZ50" s="22">
        <v>2.5079662791946955E-2</v>
      </c>
      <c r="BA50" s="22">
        <v>2.5870185947085789E-2</v>
      </c>
      <c r="BB50" s="22">
        <v>2.6893536703573639E-2</v>
      </c>
      <c r="BC50" s="22">
        <v>2.3026535336124088E-2</v>
      </c>
      <c r="BD50" s="22">
        <v>1.6693942729572031E-2</v>
      </c>
      <c r="BE50" s="22">
        <v>2.2786008601595631E-2</v>
      </c>
      <c r="BF50" s="22">
        <v>0</v>
      </c>
      <c r="BG50" s="11"/>
      <c r="BH50" s="10" t="str">
        <f t="shared" si="11"/>
        <v>NaN</v>
      </c>
      <c r="BI50" s="10" t="str">
        <f t="shared" si="12"/>
        <v>NaN</v>
      </c>
      <c r="BJ50" s="10" t="str">
        <f t="shared" si="13"/>
        <v>NaN</v>
      </c>
      <c r="BK50" s="10" t="str">
        <f t="shared" si="14"/>
        <v>NaN</v>
      </c>
      <c r="BL50" s="10" t="str">
        <f t="shared" si="15"/>
        <v>NaN</v>
      </c>
      <c r="BM50" s="10" t="str">
        <f t="shared" si="16"/>
        <v>NaN</v>
      </c>
      <c r="BN50" s="10" t="str">
        <f t="shared" si="17"/>
        <v>NaN</v>
      </c>
      <c r="BO50" s="10" t="str">
        <f t="shared" si="18"/>
        <v>NaN</v>
      </c>
      <c r="BP50" s="10" t="str">
        <f t="shared" si="19"/>
        <v>NaN</v>
      </c>
      <c r="BQ50" s="10" t="str">
        <f t="shared" si="20"/>
        <v>NaN</v>
      </c>
      <c r="BR50" s="10" t="str">
        <f t="shared" si="21"/>
        <v>NaN</v>
      </c>
      <c r="BS50" s="10" t="str">
        <f t="shared" si="22"/>
        <v>NaN</v>
      </c>
      <c r="BT50" s="10" t="str">
        <f t="shared" si="23"/>
        <v>NaN</v>
      </c>
      <c r="BU50" s="10" t="str">
        <f t="shared" si="24"/>
        <v>NaN</v>
      </c>
      <c r="BV50" s="10" t="str">
        <f t="shared" si="25"/>
        <v>NaN</v>
      </c>
      <c r="BW50" s="10" t="str">
        <f t="shared" si="26"/>
        <v>NaN</v>
      </c>
      <c r="BX50" s="10" t="str">
        <f t="shared" si="27"/>
        <v>NaN</v>
      </c>
      <c r="BY50" s="10" t="str">
        <f t="shared" si="28"/>
        <v>NaN</v>
      </c>
      <c r="BZ50" s="10" t="str">
        <f t="shared" si="29"/>
        <v>NaN</v>
      </c>
      <c r="CA50" s="10" t="str">
        <f t="shared" si="30"/>
        <v>NaN</v>
      </c>
      <c r="CB50" s="10" t="str">
        <f t="shared" si="31"/>
        <v>NaN</v>
      </c>
      <c r="CC50" s="12"/>
      <c r="CD50" s="13" t="s">
        <v>227</v>
      </c>
      <c r="CE50" s="13" t="s">
        <v>226</v>
      </c>
      <c r="CF50" s="13">
        <v>49</v>
      </c>
      <c r="CG50" s="13">
        <v>122627.17438417301</v>
      </c>
      <c r="CH50" s="13">
        <v>67.367737095165097</v>
      </c>
      <c r="CI50" s="13">
        <v>1820.2655999999999</v>
      </c>
      <c r="CJ50" s="11"/>
      <c r="CK50" s="13" t="s">
        <v>227</v>
      </c>
      <c r="CL50" s="13" t="s">
        <v>226</v>
      </c>
      <c r="CM50" s="14">
        <v>312881.93455915101</v>
      </c>
      <c r="CN50" s="13">
        <v>49</v>
      </c>
      <c r="CO50" s="14">
        <v>171.88807203266001</v>
      </c>
      <c r="CP50" s="14">
        <v>1820.2655417515</v>
      </c>
      <c r="CQ50" s="11"/>
      <c r="CS50" s="8">
        <f>30000*$CP50/SUM($CP$50:$CP$51)</f>
        <v>15751.714436433982</v>
      </c>
      <c r="CT50" s="10"/>
      <c r="CU50" s="8">
        <f>267000*$CP50/SUM($CP$49:$CP$51)</f>
        <v>49997.616957230617</v>
      </c>
      <c r="CV50" s="8">
        <f>290000*$CP50/SUM($CP$49:$CP$51)</f>
        <v>54304.527781261728</v>
      </c>
      <c r="CW50" s="8">
        <f>9623*$CP50/SUM($CP$50:$CP$51)</f>
        <v>5052.6249340601398</v>
      </c>
      <c r="CX50" s="8">
        <f>800673*$CP50/SUM($CP$49:$CP$51)</f>
        <v>149931.6178351937</v>
      </c>
      <c r="CY50" s="8">
        <f>1406000*$CP50/SUM($CP$50:$CP$51)</f>
        <v>738230.34992087272</v>
      </c>
      <c r="DA50" s="8">
        <f>230000*$CP50/SUM($CP$49:$CP$51)</f>
        <v>43069.108240311027</v>
      </c>
      <c r="DD50" s="8">
        <f>425000*$CP50/SUM($CP$49:$CP$51)</f>
        <v>79584.2217484008</v>
      </c>
      <c r="DE50" s="8">
        <f>375000*$CP50/SUM($CP$50:$CP$51)</f>
        <v>196896.43045542479</v>
      </c>
      <c r="DG50" s="8">
        <f>440000*$CP50/SUM($CP$49:$CP$51)</f>
        <v>82393.07663363847</v>
      </c>
      <c r="DH50" s="10">
        <f>300000*$CP50/SUM($CP$50:$CP$51)</f>
        <v>157517.14436433982</v>
      </c>
      <c r="DI50" s="8">
        <f>770000*$CP50/SUM($CP$49:$CP$51)</f>
        <v>144187.88410886732</v>
      </c>
      <c r="DJ50" s="10">
        <f>300000*$CP50/SUM($CP$50:$CP$51)</f>
        <v>157517.14436433982</v>
      </c>
      <c r="DM50" s="8">
        <f>585000*$CP50/SUM($CP$49:$CP$51)</f>
        <v>109545.34052426934</v>
      </c>
      <c r="DR50" s="10">
        <f>400000*$CP50/SUM($CP$49:$CP$51)</f>
        <v>74902.796939671345</v>
      </c>
      <c r="DU50" s="8">
        <f>2400000*$CP50/SUM($CP$49:$CP$51)</f>
        <v>449416.78163802804</v>
      </c>
      <c r="DZ50" s="8">
        <f t="shared" si="46"/>
        <v>2508298.3808823433</v>
      </c>
      <c r="EA50" s="8">
        <f t="shared" si="32"/>
        <v>1917732.0685955</v>
      </c>
      <c r="EB50" s="8">
        <f t="shared" si="33"/>
        <v>2.3771158407141856E-2</v>
      </c>
      <c r="EC50" s="8">
        <f t="shared" si="47"/>
        <v>1053.5452243688662</v>
      </c>
      <c r="ED50" s="12"/>
      <c r="EX50" s="10"/>
      <c r="EY50" s="10"/>
      <c r="EZ50" s="10"/>
      <c r="FN50" s="12"/>
    </row>
    <row r="51" spans="1:170" x14ac:dyDescent="0.3">
      <c r="A51" s="8">
        <v>50</v>
      </c>
      <c r="B51" s="13" t="s">
        <v>229</v>
      </c>
      <c r="C51" s="13" t="s">
        <v>230</v>
      </c>
      <c r="D51" s="13" t="s">
        <v>207</v>
      </c>
      <c r="F51" s="13">
        <f t="shared" si="41"/>
        <v>10</v>
      </c>
      <c r="G51" s="13">
        <f t="shared" si="45"/>
        <v>65.7439019693213</v>
      </c>
      <c r="H51" s="13">
        <f>(2*EA51)/$F51/$CI51</f>
        <v>222.41048947456372</v>
      </c>
      <c r="I51" s="13">
        <f t="shared" si="7"/>
        <v>0.29559712819588119</v>
      </c>
      <c r="J51" s="13">
        <f t="shared" si="1"/>
        <v>17</v>
      </c>
      <c r="K51" s="13">
        <f t="shared" si="8"/>
        <v>1.1764705882352942</v>
      </c>
      <c r="M51" s="14" t="str">
        <f t="shared" si="9"/>
        <v>NaN</v>
      </c>
      <c r="N51" s="14" t="str">
        <f t="shared" si="10"/>
        <v>NaN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647474.22544285201</v>
      </c>
      <c r="AC51" s="14">
        <v>636893.15368710598</v>
      </c>
      <c r="AD51" s="14">
        <v>644307.01062576799</v>
      </c>
      <c r="AE51" s="14">
        <v>666774.23714177997</v>
      </c>
      <c r="AF51" s="14">
        <v>684734.09748763498</v>
      </c>
      <c r="AG51" s="14">
        <v>687087.10494291096</v>
      </c>
      <c r="AH51" s="14">
        <v>720733.42946009501</v>
      </c>
      <c r="AI51" s="14">
        <v>772792.29123638896</v>
      </c>
      <c r="AJ51" s="14">
        <v>822325.40347287396</v>
      </c>
      <c r="AL51" s="23">
        <v>3.2888721496165063E-2</v>
      </c>
      <c r="AM51" s="23">
        <v>2.8843039908195367E-2</v>
      </c>
      <c r="AN51" s="23">
        <v>2.3508826348185297E-2</v>
      </c>
      <c r="AO51" s="23">
        <v>1.727558717854083E-2</v>
      </c>
      <c r="AP51" s="23">
        <v>9.7904355801925469E-3</v>
      </c>
      <c r="AQ51" s="23">
        <v>1.8178580442596015E-3</v>
      </c>
      <c r="AR51" s="23">
        <v>-3.3449229627590116E-3</v>
      </c>
      <c r="AS51" s="23">
        <v>-1.1079319634054174E-3</v>
      </c>
      <c r="AT51" s="23">
        <v>4.8934098997499564E-3</v>
      </c>
      <c r="AU51" s="23">
        <v>1.5235248091937992E-2</v>
      </c>
      <c r="AV51" s="23">
        <v>1.6126764918219072E-2</v>
      </c>
      <c r="AW51" s="23">
        <v>2.1540722483505803E-2</v>
      </c>
      <c r="AX51" s="23">
        <v>2.7613026747848268E-2</v>
      </c>
      <c r="AY51" s="23">
        <v>2.6978579088403398E-2</v>
      </c>
      <c r="AZ51" s="23">
        <v>2.5079662791946955E-2</v>
      </c>
      <c r="BA51" s="23">
        <v>2.5870185947085789E-2</v>
      </c>
      <c r="BB51" s="23">
        <v>2.6893536703573639E-2</v>
      </c>
      <c r="BC51" s="23">
        <v>2.3026535336124088E-2</v>
      </c>
      <c r="BD51" s="23">
        <v>1.6693942729572031E-2</v>
      </c>
      <c r="BE51" s="23">
        <v>2.2786008601595631E-2</v>
      </c>
      <c r="BF51" s="23">
        <v>0</v>
      </c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D51" s="13" t="s">
        <v>229</v>
      </c>
      <c r="CE51" s="13" t="s">
        <v>230</v>
      </c>
      <c r="CF51" s="13">
        <v>50</v>
      </c>
      <c r="CG51" s="13">
        <v>37759.563248307502</v>
      </c>
      <c r="CH51" s="13">
        <v>22.932817757000802</v>
      </c>
      <c r="CI51" s="13">
        <v>1646.5296000000001</v>
      </c>
      <c r="CK51" s="13" t="s">
        <v>229</v>
      </c>
      <c r="CL51" s="13" t="s">
        <v>230</v>
      </c>
      <c r="CM51" s="14">
        <v>146008.83918801</v>
      </c>
      <c r="CN51" s="13">
        <v>50</v>
      </c>
      <c r="CO51" s="14">
        <v>88.676719726322105</v>
      </c>
      <c r="CP51" s="14">
        <v>1646.52954731105</v>
      </c>
      <c r="CR51" s="8"/>
      <c r="CS51" s="8">
        <f>30000*$CP51/SUM($CP$50:$CP$51)</f>
        <v>14248.285563566018</v>
      </c>
      <c r="CT51" s="10"/>
      <c r="CU51" s="8">
        <f>267000*$CP51/SUM($CP$49:$CP$51)</f>
        <v>45225.573811614107</v>
      </c>
      <c r="CV51" s="8">
        <f>290000*$CP51/SUM($CP$49:$CP$51)</f>
        <v>49121.409757932932</v>
      </c>
      <c r="CW51" s="8">
        <f>9623*$CP51/SUM($CP$50:$CP$51)</f>
        <v>4570.3750659398602</v>
      </c>
      <c r="CX51" s="8">
        <f>800673*$CP51/SUM($CP$49:$CP$51)</f>
        <v>135621.332810736</v>
      </c>
      <c r="CY51" s="8">
        <f>1406000*$CP51/SUM($CP$50:$CP$51)</f>
        <v>667769.6500791274</v>
      </c>
      <c r="CZ51" s="8"/>
      <c r="DA51" s="8">
        <f>230000*$CP51/SUM($CP$49:$CP$51)</f>
        <v>38958.359463188186</v>
      </c>
      <c r="DB51" s="8"/>
      <c r="DC51" s="8">
        <v>126000</v>
      </c>
      <c r="DD51" s="8">
        <f>425000*$CP51/SUM($CP$49:$CP$51)</f>
        <v>71988.272921108597</v>
      </c>
      <c r="DE51" s="8">
        <f>375000*$CP51/SUM($CP$50:$CP$51)</f>
        <v>178103.56954457526</v>
      </c>
      <c r="DF51" s="8"/>
      <c r="DG51" s="8">
        <f>440000*$CP51/SUM($CP$49:$CP$51)</f>
        <v>74529.035494794793</v>
      </c>
      <c r="DH51" s="10">
        <f>300000*$CP51/SUM($CP$50:$CP$51)</f>
        <v>142482.85563566021</v>
      </c>
      <c r="DI51" s="8">
        <f>770000*$CP51/SUM($CP$49:$CP$51)</f>
        <v>130425.81211589088</v>
      </c>
      <c r="DJ51" s="10">
        <f>300000*$CP51/SUM($CP$50:$CP$51)</f>
        <v>142482.85563566021</v>
      </c>
      <c r="DM51" s="8">
        <f>585000*$CP51/SUM($CP$49:$CP$51)</f>
        <v>99089.740373761262</v>
      </c>
      <c r="DR51" s="10">
        <f>400000*$CP51/SUM($CP$49:$CP$51)</f>
        <v>67753.668631631634</v>
      </c>
      <c r="DU51" s="8">
        <f>2400000*$CP51/SUM($CP$49:$CP$51)</f>
        <v>406522.01178978977</v>
      </c>
      <c r="DZ51" s="13">
        <f t="shared" si="46"/>
        <v>2394892.8086949768</v>
      </c>
      <c r="EA51" s="13">
        <f t="shared" si="32"/>
        <v>1831027.271351788</v>
      </c>
      <c r="EB51" s="13">
        <f t="shared" si="33"/>
        <v>2.2696413137095413E-2</v>
      </c>
      <c r="EC51" s="13">
        <f t="shared" si="47"/>
        <v>1112.0524829584999</v>
      </c>
      <c r="EW51" s="8"/>
      <c r="EX51" s="10"/>
      <c r="EY51" s="10"/>
      <c r="EZ51" s="10"/>
      <c r="FA51" s="8"/>
      <c r="FB51" s="8"/>
      <c r="FC51" s="8"/>
    </row>
    <row r="52" spans="1:170" x14ac:dyDescent="0.3">
      <c r="P5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Thomas</dc:creator>
  <cp:lastModifiedBy>Owen Thomas</cp:lastModifiedBy>
  <dcterms:created xsi:type="dcterms:W3CDTF">2024-07-15T23:49:23Z</dcterms:created>
  <dcterms:modified xsi:type="dcterms:W3CDTF">2024-08-07T19:10:12Z</dcterms:modified>
</cp:coreProperties>
</file>