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wen\OneDrive\Documents\MSU\Thesis\beach-nourishment-efficiency\"/>
    </mc:Choice>
  </mc:AlternateContent>
  <bookViews>
    <workbookView xWindow="0" yWindow="0" windowWidth="28800" windowHeight="12216"/>
  </bookViews>
  <sheets>
    <sheet name="main_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3" i="1" l="1"/>
  <c r="D21" i="1"/>
  <c r="D19" i="1"/>
  <c r="D18" i="1"/>
  <c r="D17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CH23" i="1" l="1"/>
  <c r="CG23" i="1"/>
  <c r="CF23" i="1"/>
  <c r="CE23" i="1"/>
  <c r="CD23" i="1"/>
  <c r="CC23" i="1"/>
  <c r="CB23" i="1"/>
  <c r="CA23" i="1"/>
  <c r="BZ23" i="1"/>
  <c r="BY23" i="1"/>
  <c r="BX23" i="1"/>
  <c r="BW23" i="1"/>
  <c r="BV23" i="1"/>
  <c r="BU23" i="1"/>
  <c r="BT23" i="1"/>
  <c r="BS23" i="1"/>
  <c r="BR23" i="1"/>
  <c r="BQ23" i="1"/>
  <c r="BP23" i="1"/>
  <c r="BO23" i="1"/>
  <c r="BN23" i="1"/>
  <c r="CH22" i="1"/>
  <c r="CG22" i="1"/>
  <c r="CF22" i="1"/>
  <c r="CE22" i="1"/>
  <c r="CD22" i="1"/>
  <c r="CC22" i="1"/>
  <c r="CB22" i="1"/>
  <c r="CA22" i="1"/>
  <c r="BZ22" i="1"/>
  <c r="BY22" i="1"/>
  <c r="BX22" i="1"/>
  <c r="BW22" i="1"/>
  <c r="BV22" i="1"/>
  <c r="BU22" i="1"/>
  <c r="BT22" i="1"/>
  <c r="BS22" i="1"/>
  <c r="BR22" i="1"/>
  <c r="BQ22" i="1"/>
  <c r="BP22" i="1"/>
  <c r="BO22" i="1"/>
  <c r="BN22" i="1"/>
  <c r="CH21" i="1"/>
  <c r="CG21" i="1"/>
  <c r="CF21" i="1"/>
  <c r="CE21" i="1"/>
  <c r="CD21" i="1"/>
  <c r="CC21" i="1"/>
  <c r="CB21" i="1"/>
  <c r="CA21" i="1"/>
  <c r="BZ21" i="1"/>
  <c r="BY21" i="1"/>
  <c r="BX21" i="1"/>
  <c r="BW21" i="1"/>
  <c r="BV21" i="1"/>
  <c r="BU21" i="1"/>
  <c r="BT21" i="1"/>
  <c r="BS21" i="1"/>
  <c r="BR21" i="1"/>
  <c r="BQ21" i="1"/>
  <c r="BP21" i="1"/>
  <c r="BO21" i="1"/>
  <c r="BN21" i="1"/>
  <c r="CH20" i="1"/>
  <c r="CG20" i="1"/>
  <c r="CF20" i="1"/>
  <c r="CE20" i="1"/>
  <c r="CD20" i="1"/>
  <c r="CC20" i="1"/>
  <c r="CB20" i="1"/>
  <c r="CA20" i="1"/>
  <c r="BZ20" i="1"/>
  <c r="BY20" i="1"/>
  <c r="BX20" i="1"/>
  <c r="BW20" i="1"/>
  <c r="BV20" i="1"/>
  <c r="BU20" i="1"/>
  <c r="BT20" i="1"/>
  <c r="BS20" i="1"/>
  <c r="BR20" i="1"/>
  <c r="BQ20" i="1"/>
  <c r="BP20" i="1"/>
  <c r="BO20" i="1"/>
  <c r="BN20" i="1"/>
  <c r="CH19" i="1"/>
  <c r="CG19" i="1"/>
  <c r="CF19" i="1"/>
  <c r="CE19" i="1"/>
  <c r="CD19" i="1"/>
  <c r="CC19" i="1"/>
  <c r="CB19" i="1"/>
  <c r="CA19" i="1"/>
  <c r="BZ19" i="1"/>
  <c r="BY19" i="1"/>
  <c r="BX19" i="1"/>
  <c r="BW19" i="1"/>
  <c r="BV19" i="1"/>
  <c r="BU19" i="1"/>
  <c r="BT19" i="1"/>
  <c r="BS19" i="1"/>
  <c r="BR19" i="1"/>
  <c r="BQ19" i="1"/>
  <c r="BP19" i="1"/>
  <c r="BO19" i="1"/>
  <c r="BN19" i="1"/>
  <c r="CH18" i="1"/>
  <c r="CG18" i="1"/>
  <c r="CF18" i="1"/>
  <c r="CE18" i="1"/>
  <c r="CD18" i="1"/>
  <c r="CC18" i="1"/>
  <c r="CB18" i="1"/>
  <c r="CA18" i="1"/>
  <c r="BZ18" i="1"/>
  <c r="BY18" i="1"/>
  <c r="BX18" i="1"/>
  <c r="BW18" i="1"/>
  <c r="BV18" i="1"/>
  <c r="BU18" i="1"/>
  <c r="BT18" i="1"/>
  <c r="BS18" i="1"/>
  <c r="BR18" i="1"/>
  <c r="BQ18" i="1"/>
  <c r="BP18" i="1"/>
  <c r="BO18" i="1"/>
  <c r="BN18" i="1"/>
  <c r="CH17" i="1"/>
  <c r="CG17" i="1"/>
  <c r="CF17" i="1"/>
  <c r="CE17" i="1"/>
  <c r="CD17" i="1"/>
  <c r="CC17" i="1"/>
  <c r="CB17" i="1"/>
  <c r="CA17" i="1"/>
  <c r="BZ17" i="1"/>
  <c r="BY17" i="1"/>
  <c r="BX17" i="1"/>
  <c r="BW17" i="1"/>
  <c r="BV17" i="1"/>
  <c r="BU17" i="1"/>
  <c r="BT17" i="1"/>
  <c r="BS17" i="1"/>
  <c r="BR17" i="1"/>
  <c r="BQ17" i="1"/>
  <c r="BP17" i="1"/>
  <c r="BO17" i="1"/>
  <c r="BN17" i="1"/>
  <c r="CH16" i="1"/>
  <c r="CG16" i="1"/>
  <c r="CF16" i="1"/>
  <c r="CE16" i="1"/>
  <c r="CD16" i="1"/>
  <c r="CC16" i="1"/>
  <c r="CB16" i="1"/>
  <c r="CA16" i="1"/>
  <c r="BZ16" i="1"/>
  <c r="BY16" i="1"/>
  <c r="BX16" i="1"/>
  <c r="BW16" i="1"/>
  <c r="BV16" i="1"/>
  <c r="BU16" i="1"/>
  <c r="BT16" i="1"/>
  <c r="BS16" i="1"/>
  <c r="BR16" i="1"/>
  <c r="BQ16" i="1"/>
  <c r="BP16" i="1"/>
  <c r="BO16" i="1"/>
  <c r="BN16" i="1"/>
  <c r="CH15" i="1"/>
  <c r="CG15" i="1"/>
  <c r="CF15" i="1"/>
  <c r="CE15" i="1"/>
  <c r="CD15" i="1"/>
  <c r="CC15" i="1"/>
  <c r="CB15" i="1"/>
  <c r="CA15" i="1"/>
  <c r="BZ15" i="1"/>
  <c r="BY15" i="1"/>
  <c r="BX15" i="1"/>
  <c r="BW15" i="1"/>
  <c r="BV15" i="1"/>
  <c r="BU15" i="1"/>
  <c r="BT15" i="1"/>
  <c r="BS15" i="1"/>
  <c r="BR15" i="1"/>
  <c r="BQ15" i="1"/>
  <c r="BP15" i="1"/>
  <c r="BO15" i="1"/>
  <c r="BN15" i="1"/>
  <c r="CH14" i="1"/>
  <c r="CG14" i="1"/>
  <c r="CF14" i="1"/>
  <c r="CE14" i="1"/>
  <c r="CD14" i="1"/>
  <c r="CC14" i="1"/>
  <c r="CB14" i="1"/>
  <c r="CA14" i="1"/>
  <c r="BZ14" i="1"/>
  <c r="BY14" i="1"/>
  <c r="BX14" i="1"/>
  <c r="BW14" i="1"/>
  <c r="BV14" i="1"/>
  <c r="BU14" i="1"/>
  <c r="BT14" i="1"/>
  <c r="BS14" i="1"/>
  <c r="BR14" i="1"/>
  <c r="BQ14" i="1"/>
  <c r="BP14" i="1"/>
  <c r="BO14" i="1"/>
  <c r="BN14" i="1"/>
  <c r="CH13" i="1"/>
  <c r="CG13" i="1"/>
  <c r="CF13" i="1"/>
  <c r="CE13" i="1"/>
  <c r="CD13" i="1"/>
  <c r="CC13" i="1"/>
  <c r="CB13" i="1"/>
  <c r="CA13" i="1"/>
  <c r="BZ13" i="1"/>
  <c r="BY13" i="1"/>
  <c r="BX13" i="1"/>
  <c r="BW13" i="1"/>
  <c r="BV13" i="1"/>
  <c r="BU13" i="1"/>
  <c r="BT13" i="1"/>
  <c r="BS13" i="1"/>
  <c r="BR13" i="1"/>
  <c r="BQ13" i="1"/>
  <c r="BP13" i="1"/>
  <c r="BO13" i="1"/>
  <c r="BN13" i="1"/>
  <c r="CH12" i="1"/>
  <c r="CG12" i="1"/>
  <c r="CF12" i="1"/>
  <c r="CE12" i="1"/>
  <c r="CD12" i="1"/>
  <c r="CC12" i="1"/>
  <c r="CB12" i="1"/>
  <c r="CA12" i="1"/>
  <c r="BZ12" i="1"/>
  <c r="BY12" i="1"/>
  <c r="BX12" i="1"/>
  <c r="BW12" i="1"/>
  <c r="BV12" i="1"/>
  <c r="BU12" i="1"/>
  <c r="BT12" i="1"/>
  <c r="BS12" i="1"/>
  <c r="BR12" i="1"/>
  <c r="BQ12" i="1"/>
  <c r="BP12" i="1"/>
  <c r="BO12" i="1"/>
  <c r="BN12" i="1"/>
  <c r="CH11" i="1"/>
  <c r="CG11" i="1"/>
  <c r="CF11" i="1"/>
  <c r="CE11" i="1"/>
  <c r="CD11" i="1"/>
  <c r="CC11" i="1"/>
  <c r="CB11" i="1"/>
  <c r="CA11" i="1"/>
  <c r="BZ11" i="1"/>
  <c r="BY11" i="1"/>
  <c r="BX11" i="1"/>
  <c r="BW11" i="1"/>
  <c r="BV11" i="1"/>
  <c r="BU11" i="1"/>
  <c r="BT11" i="1"/>
  <c r="BS11" i="1"/>
  <c r="BR11" i="1"/>
  <c r="BQ11" i="1"/>
  <c r="BP11" i="1"/>
  <c r="BO11" i="1"/>
  <c r="BN11" i="1"/>
  <c r="CH10" i="1"/>
  <c r="CG10" i="1"/>
  <c r="CF10" i="1"/>
  <c r="CE10" i="1"/>
  <c r="CD10" i="1"/>
  <c r="CC10" i="1"/>
  <c r="CB10" i="1"/>
  <c r="CA10" i="1"/>
  <c r="BZ10" i="1"/>
  <c r="BY10" i="1"/>
  <c r="BX10" i="1"/>
  <c r="BW10" i="1"/>
  <c r="BV10" i="1"/>
  <c r="BU10" i="1"/>
  <c r="BT10" i="1"/>
  <c r="BS10" i="1"/>
  <c r="BR10" i="1"/>
  <c r="BQ10" i="1"/>
  <c r="BP10" i="1"/>
  <c r="BO10" i="1"/>
  <c r="BN10" i="1"/>
  <c r="CH9" i="1"/>
  <c r="CG9" i="1"/>
  <c r="CF9" i="1"/>
  <c r="CE9" i="1"/>
  <c r="CD9" i="1"/>
  <c r="CC9" i="1"/>
  <c r="CB9" i="1"/>
  <c r="CA9" i="1"/>
  <c r="BZ9" i="1"/>
  <c r="BY9" i="1"/>
  <c r="BX9" i="1"/>
  <c r="BW9" i="1"/>
  <c r="BV9" i="1"/>
  <c r="BU9" i="1"/>
  <c r="BT9" i="1"/>
  <c r="BS9" i="1"/>
  <c r="BR9" i="1"/>
  <c r="BQ9" i="1"/>
  <c r="BP9" i="1"/>
  <c r="BO9" i="1"/>
  <c r="BN9" i="1"/>
  <c r="CH8" i="1"/>
  <c r="CG8" i="1"/>
  <c r="CF8" i="1"/>
  <c r="CE8" i="1"/>
  <c r="CD8" i="1"/>
  <c r="CC8" i="1"/>
  <c r="CB8" i="1"/>
  <c r="CA8" i="1"/>
  <c r="BZ8" i="1"/>
  <c r="BY8" i="1"/>
  <c r="BX8" i="1"/>
  <c r="BW8" i="1"/>
  <c r="BV8" i="1"/>
  <c r="BU8" i="1"/>
  <c r="BT8" i="1"/>
  <c r="BS8" i="1"/>
  <c r="BR8" i="1"/>
  <c r="BQ8" i="1"/>
  <c r="BP8" i="1"/>
  <c r="BO8" i="1"/>
  <c r="BN8" i="1"/>
  <c r="CH7" i="1"/>
  <c r="CG7" i="1"/>
  <c r="CF7" i="1"/>
  <c r="CE7" i="1"/>
  <c r="CD7" i="1"/>
  <c r="CC7" i="1"/>
  <c r="CB7" i="1"/>
  <c r="CA7" i="1"/>
  <c r="BZ7" i="1"/>
  <c r="BY7" i="1"/>
  <c r="BX7" i="1"/>
  <c r="BW7" i="1"/>
  <c r="BV7" i="1"/>
  <c r="BU7" i="1"/>
  <c r="BT7" i="1"/>
  <c r="BS7" i="1"/>
  <c r="BR7" i="1"/>
  <c r="BQ7" i="1"/>
  <c r="BP7" i="1"/>
  <c r="BO7" i="1"/>
  <c r="BN7" i="1"/>
  <c r="CH6" i="1"/>
  <c r="CG6" i="1"/>
  <c r="CF6" i="1"/>
  <c r="CE6" i="1"/>
  <c r="CD6" i="1"/>
  <c r="CC6" i="1"/>
  <c r="CB6" i="1"/>
  <c r="CA6" i="1"/>
  <c r="BZ6" i="1"/>
  <c r="BY6" i="1"/>
  <c r="BX6" i="1"/>
  <c r="BW6" i="1"/>
  <c r="BV6" i="1"/>
  <c r="BU6" i="1"/>
  <c r="BT6" i="1"/>
  <c r="BS6" i="1"/>
  <c r="BR6" i="1"/>
  <c r="BQ6" i="1"/>
  <c r="BP6" i="1"/>
  <c r="BO6" i="1"/>
  <c r="BN6" i="1"/>
  <c r="CH5" i="1"/>
  <c r="CG5" i="1"/>
  <c r="CF5" i="1"/>
  <c r="CE5" i="1"/>
  <c r="CD5" i="1"/>
  <c r="CC5" i="1"/>
  <c r="CB5" i="1"/>
  <c r="CA5" i="1"/>
  <c r="BZ5" i="1"/>
  <c r="BY5" i="1"/>
  <c r="BX5" i="1"/>
  <c r="BW5" i="1"/>
  <c r="BV5" i="1"/>
  <c r="BU5" i="1"/>
  <c r="BT5" i="1"/>
  <c r="BS5" i="1"/>
  <c r="BR5" i="1"/>
  <c r="BQ5" i="1"/>
  <c r="BP5" i="1"/>
  <c r="BO5" i="1"/>
  <c r="BN5" i="1"/>
  <c r="CH4" i="1"/>
  <c r="CG4" i="1"/>
  <c r="CF4" i="1"/>
  <c r="CE4" i="1"/>
  <c r="CD4" i="1"/>
  <c r="CC4" i="1"/>
  <c r="CB4" i="1"/>
  <c r="CA4" i="1"/>
  <c r="BZ4" i="1"/>
  <c r="BY4" i="1"/>
  <c r="BX4" i="1"/>
  <c r="BW4" i="1"/>
  <c r="BV4" i="1"/>
  <c r="BU4" i="1"/>
  <c r="BT4" i="1"/>
  <c r="BS4" i="1"/>
  <c r="BR4" i="1"/>
  <c r="BQ4" i="1"/>
  <c r="BP4" i="1"/>
  <c r="BO4" i="1"/>
  <c r="BN4" i="1"/>
  <c r="CH3" i="1"/>
  <c r="CG3" i="1"/>
  <c r="CF3" i="1"/>
  <c r="CE3" i="1"/>
  <c r="CD3" i="1"/>
  <c r="CC3" i="1"/>
  <c r="CB3" i="1"/>
  <c r="CA3" i="1"/>
  <c r="BZ3" i="1"/>
  <c r="BY3" i="1"/>
  <c r="BX3" i="1"/>
  <c r="BW3" i="1"/>
  <c r="BV3" i="1"/>
  <c r="BU3" i="1"/>
  <c r="BT3" i="1"/>
  <c r="BS3" i="1"/>
  <c r="BR3" i="1"/>
  <c r="BQ3" i="1"/>
  <c r="BP3" i="1"/>
  <c r="BO3" i="1"/>
  <c r="BN3" i="1"/>
  <c r="CH2" i="1"/>
  <c r="CG2" i="1"/>
  <c r="CF2" i="1"/>
  <c r="CE2" i="1"/>
  <c r="CD2" i="1"/>
  <c r="CC2" i="1"/>
  <c r="CB2" i="1"/>
  <c r="CA2" i="1"/>
  <c r="BZ2" i="1"/>
  <c r="BY2" i="1"/>
  <c r="BX2" i="1"/>
  <c r="BW2" i="1"/>
  <c r="BV2" i="1"/>
  <c r="BU2" i="1"/>
  <c r="BT2" i="1"/>
  <c r="BS2" i="1"/>
  <c r="BR2" i="1"/>
  <c r="BQ2" i="1"/>
  <c r="BP2" i="1"/>
  <c r="BN2" i="1"/>
  <c r="BO2" i="1"/>
  <c r="FU2" i="1"/>
  <c r="FS23" i="1"/>
  <c r="FS22" i="1"/>
  <c r="FI21" i="1"/>
  <c r="FI20" i="1"/>
  <c r="FP15" i="1"/>
  <c r="FG15" i="1"/>
  <c r="FP14" i="1"/>
  <c r="FG14" i="1"/>
  <c r="FP13" i="1"/>
  <c r="FG13" i="1"/>
  <c r="FP12" i="1"/>
  <c r="FG12" i="1"/>
  <c r="FP11" i="1"/>
  <c r="FG11" i="1"/>
  <c r="FP10" i="1"/>
  <c r="FG10" i="1"/>
  <c r="FP9" i="1"/>
  <c r="FG9" i="1"/>
  <c r="FP8" i="1"/>
  <c r="FG8" i="1"/>
  <c r="FR7" i="1"/>
  <c r="FP7" i="1"/>
  <c r="FR6" i="1"/>
  <c r="FP6" i="1"/>
  <c r="FR5" i="1"/>
  <c r="FP5" i="1"/>
  <c r="FP4" i="1"/>
  <c r="FP3" i="1"/>
  <c r="FD3" i="1"/>
  <c r="EM3" i="1"/>
  <c r="FP2" i="1"/>
  <c r="FD2" i="1"/>
  <c r="EM2" i="1"/>
  <c r="EE23" i="1"/>
  <c r="DX23" i="1"/>
  <c r="EE22" i="1"/>
  <c r="DX22" i="1"/>
  <c r="DV21" i="1"/>
  <c r="DU21" i="1"/>
  <c r="DV20" i="1"/>
  <c r="DU20" i="1"/>
  <c r="EB15" i="1"/>
  <c r="DV15" i="1"/>
  <c r="DS15" i="1"/>
  <c r="EB14" i="1"/>
  <c r="DV14" i="1"/>
  <c r="DS14" i="1"/>
  <c r="EB13" i="1"/>
  <c r="DV13" i="1"/>
  <c r="DS13" i="1"/>
  <c r="EB12" i="1"/>
  <c r="DV12" i="1"/>
  <c r="DS12" i="1"/>
  <c r="EB11" i="1"/>
  <c r="DV11" i="1"/>
  <c r="DS11" i="1"/>
  <c r="EB10" i="1"/>
  <c r="DV10" i="1"/>
  <c r="DS10" i="1"/>
  <c r="EB9" i="1"/>
  <c r="DV9" i="1"/>
  <c r="DS9" i="1"/>
  <c r="EB8" i="1"/>
  <c r="DV8" i="1"/>
  <c r="DS8" i="1"/>
  <c r="ED7" i="1"/>
  <c r="EB7" i="1"/>
  <c r="DV7" i="1"/>
  <c r="ED6" i="1"/>
  <c r="EB6" i="1"/>
  <c r="DV6" i="1"/>
  <c r="ED5" i="1"/>
  <c r="EB5" i="1"/>
  <c r="DV5" i="1"/>
  <c r="EB4" i="1"/>
  <c r="DV4" i="1"/>
  <c r="EB3" i="1"/>
  <c r="DV3" i="1"/>
  <c r="DP3" i="1"/>
  <c r="CZ3" i="1"/>
  <c r="EB2" i="1"/>
  <c r="DV2" i="1"/>
  <c r="DP2" i="1"/>
  <c r="CZ2" i="1"/>
  <c r="M2" i="1"/>
  <c r="S18" i="1" l="1"/>
  <c r="S2" i="1"/>
  <c r="T7" i="1"/>
  <c r="T15" i="1"/>
  <c r="T22" i="1"/>
  <c r="T5" i="1"/>
  <c r="T13" i="1"/>
  <c r="T20" i="1"/>
  <c r="T4" i="1"/>
  <c r="T12" i="1"/>
  <c r="T18" i="1"/>
  <c r="T21" i="1"/>
  <c r="T9" i="1"/>
  <c r="T17" i="1"/>
  <c r="S6" i="1"/>
  <c r="S14" i="1"/>
  <c r="S21" i="1"/>
  <c r="S10" i="1"/>
  <c r="T3" i="1"/>
  <c r="T11" i="1"/>
  <c r="T19" i="1"/>
  <c r="T2" i="1"/>
  <c r="T6" i="1"/>
  <c r="T8" i="1"/>
  <c r="T10" i="1"/>
  <c r="T14" i="1"/>
  <c r="T16" i="1"/>
  <c r="T23" i="1"/>
  <c r="S3" i="1"/>
  <c r="S7" i="1"/>
  <c r="S11" i="1"/>
  <c r="S15" i="1"/>
  <c r="S19" i="1"/>
  <c r="S22" i="1"/>
  <c r="S4" i="1"/>
  <c r="S8" i="1"/>
  <c r="S12" i="1"/>
  <c r="S16" i="1"/>
  <c r="S23" i="1"/>
  <c r="S5" i="1"/>
  <c r="S9" i="1"/>
  <c r="S13" i="1"/>
  <c r="S17" i="1"/>
  <c r="S20" i="1"/>
  <c r="EF2" i="1"/>
  <c r="GD23" i="1"/>
  <c r="GC23" i="1"/>
  <c r="GB23" i="1"/>
  <c r="GA23" i="1"/>
  <c r="FZ23" i="1"/>
  <c r="FY23" i="1"/>
  <c r="FX23" i="1"/>
  <c r="FW23" i="1"/>
  <c r="FV23" i="1"/>
  <c r="FU23" i="1"/>
  <c r="M23" i="1"/>
  <c r="GD22" i="1"/>
  <c r="GC22" i="1"/>
  <c r="GB22" i="1"/>
  <c r="GA22" i="1"/>
  <c r="FZ22" i="1"/>
  <c r="FY22" i="1"/>
  <c r="FX22" i="1"/>
  <c r="FW22" i="1"/>
  <c r="FV22" i="1"/>
  <c r="FU22" i="1"/>
  <c r="M22" i="1"/>
  <c r="GC21" i="1"/>
  <c r="GB21" i="1"/>
  <c r="GA21" i="1"/>
  <c r="FZ21" i="1"/>
  <c r="FY21" i="1"/>
  <c r="FX21" i="1"/>
  <c r="FU21" i="1"/>
  <c r="FV21" i="1"/>
  <c r="FJ21" i="1"/>
  <c r="FW21" i="1" s="1"/>
  <c r="M21" i="1"/>
  <c r="GC20" i="1"/>
  <c r="GB20" i="1"/>
  <c r="GA20" i="1"/>
  <c r="FZ20" i="1"/>
  <c r="FY20" i="1"/>
  <c r="FX20" i="1"/>
  <c r="FU20" i="1"/>
  <c r="FV20" i="1"/>
  <c r="EF20" i="1"/>
  <c r="M20" i="1"/>
  <c r="GD19" i="1"/>
  <c r="GC19" i="1"/>
  <c r="GB19" i="1"/>
  <c r="GA19" i="1"/>
  <c r="FZ19" i="1"/>
  <c r="FY19" i="1"/>
  <c r="FX19" i="1"/>
  <c r="FW19" i="1"/>
  <c r="FV19" i="1"/>
  <c r="FU19" i="1"/>
  <c r="EF19" i="1"/>
  <c r="P19" i="1"/>
  <c r="M19" i="1"/>
  <c r="GD18" i="1"/>
  <c r="GC18" i="1"/>
  <c r="GB18" i="1"/>
  <c r="GA18" i="1"/>
  <c r="FZ18" i="1"/>
  <c r="FY18" i="1"/>
  <c r="FX18" i="1"/>
  <c r="FW18" i="1"/>
  <c r="FV18" i="1"/>
  <c r="FU18" i="1"/>
  <c r="EF18" i="1"/>
  <c r="EG18" i="1" s="1"/>
  <c r="EI18" i="1" s="1"/>
  <c r="P18" i="1"/>
  <c r="Q18" i="1" s="1"/>
  <c r="M18" i="1"/>
  <c r="GD17" i="1"/>
  <c r="GC17" i="1"/>
  <c r="GB17" i="1"/>
  <c r="GA17" i="1"/>
  <c r="FZ17" i="1"/>
  <c r="FY17" i="1"/>
  <c r="FX17" i="1"/>
  <c r="FW17" i="1"/>
  <c r="FV17" i="1"/>
  <c r="FU17" i="1"/>
  <c r="EF17" i="1"/>
  <c r="EG17" i="1" s="1"/>
  <c r="EI17" i="1" s="1"/>
  <c r="P17" i="1"/>
  <c r="Q17" i="1" s="1"/>
  <c r="M17" i="1"/>
  <c r="GD16" i="1"/>
  <c r="GC16" i="1"/>
  <c r="GB16" i="1"/>
  <c r="GA16" i="1"/>
  <c r="FZ16" i="1"/>
  <c r="FY16" i="1"/>
  <c r="FX16" i="1"/>
  <c r="FW16" i="1"/>
  <c r="FV16" i="1"/>
  <c r="FU16" i="1"/>
  <c r="EF16" i="1"/>
  <c r="EG16" i="1" s="1"/>
  <c r="EI16" i="1" s="1"/>
  <c r="P16" i="1"/>
  <c r="Q16" i="1" s="1"/>
  <c r="M16" i="1"/>
  <c r="GC15" i="1"/>
  <c r="GB15" i="1"/>
  <c r="FZ15" i="1"/>
  <c r="FY15" i="1"/>
  <c r="FX15" i="1"/>
  <c r="FW15" i="1"/>
  <c r="FV15" i="1"/>
  <c r="GA15" i="1"/>
  <c r="FU15" i="1"/>
  <c r="M15" i="1"/>
  <c r="GC14" i="1"/>
  <c r="GB14" i="1"/>
  <c r="FZ14" i="1"/>
  <c r="FY14" i="1"/>
  <c r="FX14" i="1"/>
  <c r="FW14" i="1"/>
  <c r="FV14" i="1"/>
  <c r="GA14" i="1"/>
  <c r="FU14" i="1"/>
  <c r="M14" i="1"/>
  <c r="GC13" i="1"/>
  <c r="GB13" i="1"/>
  <c r="FZ13" i="1"/>
  <c r="FY13" i="1"/>
  <c r="FX13" i="1"/>
  <c r="FW13" i="1"/>
  <c r="FV13" i="1"/>
  <c r="GA13" i="1"/>
  <c r="M13" i="1"/>
  <c r="GC12" i="1"/>
  <c r="GB12" i="1"/>
  <c r="FZ12" i="1"/>
  <c r="FY12" i="1"/>
  <c r="FX12" i="1"/>
  <c r="FW12" i="1"/>
  <c r="FV12" i="1"/>
  <c r="GA12" i="1"/>
  <c r="M12" i="1"/>
  <c r="GC11" i="1"/>
  <c r="GB11" i="1"/>
  <c r="FZ11" i="1"/>
  <c r="FY11" i="1"/>
  <c r="FX11" i="1"/>
  <c r="FW11" i="1"/>
  <c r="FV11" i="1"/>
  <c r="GA11" i="1"/>
  <c r="FU11" i="1"/>
  <c r="M11" i="1"/>
  <c r="GC10" i="1"/>
  <c r="GB10" i="1"/>
  <c r="FZ10" i="1"/>
  <c r="FY10" i="1"/>
  <c r="FX10" i="1"/>
  <c r="FW10" i="1"/>
  <c r="FV10" i="1"/>
  <c r="GA10" i="1"/>
  <c r="M10" i="1"/>
  <c r="GC9" i="1"/>
  <c r="GB9" i="1"/>
  <c r="FZ9" i="1"/>
  <c r="FY9" i="1"/>
  <c r="FX9" i="1"/>
  <c r="FW9" i="1"/>
  <c r="FV9" i="1"/>
  <c r="GA9" i="1"/>
  <c r="FU9" i="1"/>
  <c r="M9" i="1"/>
  <c r="GC8" i="1"/>
  <c r="GB8" i="1"/>
  <c r="FZ8" i="1"/>
  <c r="FY8" i="1"/>
  <c r="FX8" i="1"/>
  <c r="FW8" i="1"/>
  <c r="FV8" i="1"/>
  <c r="GA8" i="1"/>
  <c r="FU8" i="1"/>
  <c r="M8" i="1"/>
  <c r="GB7" i="1"/>
  <c r="FZ7" i="1"/>
  <c r="FY7" i="1"/>
  <c r="FX7" i="1"/>
  <c r="FW7" i="1"/>
  <c r="FV7" i="1"/>
  <c r="FU7" i="1"/>
  <c r="GC7" i="1"/>
  <c r="GA7" i="1"/>
  <c r="M7" i="1"/>
  <c r="GB6" i="1"/>
  <c r="FZ6" i="1"/>
  <c r="FY6" i="1"/>
  <c r="FX6" i="1"/>
  <c r="FW6" i="1"/>
  <c r="FV6" i="1"/>
  <c r="FU6" i="1"/>
  <c r="GC6" i="1"/>
  <c r="GA6" i="1"/>
  <c r="M6" i="1"/>
  <c r="GB5" i="1"/>
  <c r="FZ5" i="1"/>
  <c r="FY5" i="1"/>
  <c r="FX5" i="1"/>
  <c r="FW5" i="1"/>
  <c r="FV5" i="1"/>
  <c r="FU5" i="1"/>
  <c r="GC5" i="1"/>
  <c r="GD5" i="1"/>
  <c r="DW5" i="1"/>
  <c r="M5" i="1"/>
  <c r="GC4" i="1"/>
  <c r="GB4" i="1"/>
  <c r="FZ4" i="1"/>
  <c r="FY4" i="1"/>
  <c r="FX4" i="1"/>
  <c r="FW4" i="1"/>
  <c r="FV4" i="1"/>
  <c r="FU4" i="1"/>
  <c r="GD4" i="1"/>
  <c r="DW4" i="1"/>
  <c r="M4" i="1"/>
  <c r="GC3" i="1"/>
  <c r="GB3" i="1"/>
  <c r="FZ3" i="1"/>
  <c r="FY3" i="1"/>
  <c r="FX3" i="1"/>
  <c r="FW3" i="1"/>
  <c r="FV3" i="1"/>
  <c r="FU3" i="1"/>
  <c r="GA3" i="1"/>
  <c r="M3" i="1"/>
  <c r="L3" i="1"/>
  <c r="L4" i="1" s="1"/>
  <c r="L5" i="1" s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GC2" i="1"/>
  <c r="GB2" i="1"/>
  <c r="FZ2" i="1"/>
  <c r="FY2" i="1"/>
  <c r="FX2" i="1"/>
  <c r="FW2" i="1"/>
  <c r="FV2" i="1"/>
  <c r="GA2" i="1"/>
  <c r="H9" i="1" l="1"/>
  <c r="E9" i="1"/>
  <c r="G9" i="1"/>
  <c r="E10" i="1"/>
  <c r="G10" i="1"/>
  <c r="H10" i="1"/>
  <c r="H11" i="1"/>
  <c r="G11" i="1"/>
  <c r="E11" i="1"/>
  <c r="F18" i="1"/>
  <c r="E18" i="1"/>
  <c r="H18" i="1"/>
  <c r="G18" i="1"/>
  <c r="E13" i="1"/>
  <c r="G13" i="1"/>
  <c r="H13" i="1"/>
  <c r="G7" i="1"/>
  <c r="E7" i="1"/>
  <c r="H7" i="1"/>
  <c r="E19" i="1"/>
  <c r="G19" i="1"/>
  <c r="H19" i="1"/>
  <c r="H21" i="1"/>
  <c r="G21" i="1"/>
  <c r="E21" i="1"/>
  <c r="G8" i="1"/>
  <c r="E8" i="1"/>
  <c r="H8" i="1"/>
  <c r="H3" i="1"/>
  <c r="E3" i="1"/>
  <c r="G3" i="1"/>
  <c r="E12" i="1"/>
  <c r="H12" i="1"/>
  <c r="G12" i="1"/>
  <c r="E5" i="1"/>
  <c r="G5" i="1"/>
  <c r="H5" i="1"/>
  <c r="H14" i="1"/>
  <c r="G14" i="1"/>
  <c r="E14" i="1"/>
  <c r="H6" i="1"/>
  <c r="G6" i="1"/>
  <c r="E6" i="1"/>
  <c r="G15" i="1"/>
  <c r="E15" i="1"/>
  <c r="H15" i="1"/>
  <c r="E23" i="1"/>
  <c r="H23" i="1"/>
  <c r="G23" i="1"/>
  <c r="G17" i="1"/>
  <c r="E17" i="1"/>
  <c r="H17" i="1"/>
  <c r="F17" i="1"/>
  <c r="E4" i="1"/>
  <c r="H4" i="1"/>
  <c r="G4" i="1"/>
  <c r="L16" i="1"/>
  <c r="L17" i="1" s="1"/>
  <c r="EF3" i="1"/>
  <c r="EG3" i="1" s="1"/>
  <c r="EI3" i="1" s="1"/>
  <c r="P21" i="1"/>
  <c r="Q21" i="1" s="1"/>
  <c r="P8" i="1"/>
  <c r="Q8" i="1" s="1"/>
  <c r="GA4" i="1"/>
  <c r="P5" i="1"/>
  <c r="Q5" i="1" s="1"/>
  <c r="EF10" i="1"/>
  <c r="EG10" i="1" s="1"/>
  <c r="EI10" i="1" s="1"/>
  <c r="EF12" i="1"/>
  <c r="EG12" i="1" s="1"/>
  <c r="P15" i="1"/>
  <c r="Q15" i="1" s="1"/>
  <c r="GD12" i="1"/>
  <c r="P14" i="1"/>
  <c r="Q14" i="1" s="1"/>
  <c r="EG2" i="1"/>
  <c r="EI2" i="1" s="1"/>
  <c r="GD15" i="1"/>
  <c r="P2" i="1"/>
  <c r="Q2" i="1" s="1"/>
  <c r="P3" i="1"/>
  <c r="Q3" i="1" s="1"/>
  <c r="GD3" i="1"/>
  <c r="EF5" i="1"/>
  <c r="EG5" i="1" s="1"/>
  <c r="EI5" i="1" s="1"/>
  <c r="P13" i="1"/>
  <c r="Q13" i="1" s="1"/>
  <c r="GD21" i="1"/>
  <c r="EF11" i="1"/>
  <c r="EG11" i="1" s="1"/>
  <c r="EI11" i="1" s="1"/>
  <c r="EF8" i="1"/>
  <c r="EG8" i="1" s="1"/>
  <c r="EI8" i="1" s="1"/>
  <c r="P12" i="1"/>
  <c r="Q12" i="1" s="1"/>
  <c r="GD14" i="1"/>
  <c r="EF21" i="1"/>
  <c r="EG21" i="1" s="1"/>
  <c r="EI21" i="1" s="1"/>
  <c r="GD8" i="1"/>
  <c r="EF15" i="1"/>
  <c r="EG15" i="1" s="1"/>
  <c r="EI15" i="1" s="1"/>
  <c r="P10" i="1"/>
  <c r="Q10" i="1" s="1"/>
  <c r="FU12" i="1"/>
  <c r="GD6" i="1"/>
  <c r="P20" i="1"/>
  <c r="Q20" i="1" s="1"/>
  <c r="EF13" i="1"/>
  <c r="EG13" i="1" s="1"/>
  <c r="EI13" i="1" s="1"/>
  <c r="GD2" i="1"/>
  <c r="EF4" i="1"/>
  <c r="P4" i="1"/>
  <c r="EF6" i="1"/>
  <c r="P6" i="1"/>
  <c r="EF9" i="1"/>
  <c r="P9" i="1"/>
  <c r="GA5" i="1"/>
  <c r="FU13" i="1"/>
  <c r="GD13" i="1"/>
  <c r="EF7" i="1"/>
  <c r="P7" i="1"/>
  <c r="GD9" i="1"/>
  <c r="GD10" i="1"/>
  <c r="FU10" i="1"/>
  <c r="P11" i="1"/>
  <c r="GD11" i="1"/>
  <c r="GD7" i="1"/>
  <c r="EF14" i="1"/>
  <c r="EG19" i="1"/>
  <c r="EI19" i="1" s="1"/>
  <c r="F19" i="1" s="1"/>
  <c r="Q19" i="1"/>
  <c r="FJ20" i="1"/>
  <c r="EG20" i="1"/>
  <c r="EI20" i="1" s="1"/>
  <c r="EF23" i="1"/>
  <c r="P23" i="1"/>
  <c r="EF22" i="1"/>
  <c r="P22" i="1"/>
  <c r="N16" i="1" l="1"/>
  <c r="F11" i="1"/>
  <c r="F21" i="1"/>
  <c r="F3" i="1"/>
  <c r="L18" i="1"/>
  <c r="N17" i="1"/>
  <c r="O17" i="1" s="1"/>
  <c r="N3" i="1"/>
  <c r="O3" i="1" s="1"/>
  <c r="N12" i="1"/>
  <c r="O12" i="1" s="1"/>
  <c r="EI12" i="1"/>
  <c r="N8" i="1"/>
  <c r="O8" i="1" s="1"/>
  <c r="N10" i="1"/>
  <c r="O10" i="1" s="1"/>
  <c r="EG22" i="1"/>
  <c r="EI22" i="1" s="1"/>
  <c r="EG7" i="1"/>
  <c r="EI7" i="1" s="1"/>
  <c r="N11" i="1"/>
  <c r="O11" i="1" s="1"/>
  <c r="Q23" i="1"/>
  <c r="O16" i="1"/>
  <c r="N5" i="1"/>
  <c r="N15" i="1"/>
  <c r="Q6" i="1"/>
  <c r="EG23" i="1"/>
  <c r="EI23" i="1" s="1"/>
  <c r="EG6" i="1"/>
  <c r="EI6" i="1" s="1"/>
  <c r="F6" i="1" s="1"/>
  <c r="N2" i="1"/>
  <c r="O2" i="1" s="1"/>
  <c r="Q7" i="1"/>
  <c r="GD20" i="1"/>
  <c r="FW20" i="1"/>
  <c r="Q11" i="1"/>
  <c r="Q9" i="1"/>
  <c r="EG14" i="1"/>
  <c r="EI14" i="1" s="1"/>
  <c r="EG9" i="1"/>
  <c r="EI9" i="1" s="1"/>
  <c r="Q4" i="1"/>
  <c r="Q22" i="1"/>
  <c r="N13" i="1"/>
  <c r="EG4" i="1"/>
  <c r="EI4" i="1" s="1"/>
  <c r="F4" i="1" s="1"/>
  <c r="F9" i="1" l="1"/>
  <c r="F10" i="1"/>
  <c r="F13" i="1"/>
  <c r="F12" i="1"/>
  <c r="F14" i="1"/>
  <c r="F15" i="1"/>
  <c r="I11" i="1"/>
  <c r="I12" i="1"/>
  <c r="I3" i="1"/>
  <c r="F7" i="1"/>
  <c r="F8" i="1"/>
  <c r="I17" i="1"/>
  <c r="F23" i="1"/>
  <c r="F5" i="1"/>
  <c r="L19" i="1"/>
  <c r="L20" i="1" s="1"/>
  <c r="N18" i="1"/>
  <c r="O18" i="1" s="1"/>
  <c r="I18" i="1" s="1"/>
  <c r="EH5" i="1"/>
  <c r="EH21" i="1"/>
  <c r="EH16" i="1"/>
  <c r="EH15" i="1"/>
  <c r="EH3" i="1"/>
  <c r="EH23" i="1"/>
  <c r="EH9" i="1"/>
  <c r="EH12" i="1"/>
  <c r="EH4" i="1"/>
  <c r="EH2" i="1"/>
  <c r="EH22" i="1"/>
  <c r="EH14" i="1"/>
  <c r="N9" i="1"/>
  <c r="O13" i="1"/>
  <c r="I13" i="1" s="1"/>
  <c r="EH20" i="1"/>
  <c r="O15" i="1"/>
  <c r="N6" i="1"/>
  <c r="N14" i="1"/>
  <c r="EH6" i="1"/>
  <c r="EH7" i="1"/>
  <c r="EH19" i="1"/>
  <c r="EH11" i="1"/>
  <c r="O5" i="1"/>
  <c r="N7" i="1"/>
  <c r="EH18" i="1"/>
  <c r="EH17" i="1"/>
  <c r="N4" i="1"/>
  <c r="EH10" i="1"/>
  <c r="EH13" i="1"/>
  <c r="EH8" i="1"/>
  <c r="N19" i="1" l="1"/>
  <c r="O19" i="1" s="1"/>
  <c r="I19" i="1" s="1"/>
  <c r="O4" i="1"/>
  <c r="I4" i="1" s="1"/>
  <c r="O6" i="1"/>
  <c r="I6" i="1" s="1"/>
  <c r="O7" i="1"/>
  <c r="O9" i="1"/>
  <c r="O14" i="1"/>
  <c r="I8" i="1" l="1"/>
  <c r="I7" i="1"/>
  <c r="I15" i="1"/>
  <c r="I14" i="1"/>
  <c r="I9" i="1"/>
  <c r="I10" i="1"/>
  <c r="I5" i="1"/>
  <c r="L21" i="1"/>
  <c r="N20" i="1"/>
  <c r="O20" i="1" l="1"/>
  <c r="L22" i="1"/>
  <c r="N21" i="1"/>
  <c r="L23" i="1" l="1"/>
  <c r="N22" i="1"/>
  <c r="O21" i="1"/>
  <c r="I21" i="1" s="1"/>
  <c r="O22" i="1" l="1"/>
  <c r="N23" i="1"/>
  <c r="O23" i="1" l="1"/>
  <c r="I23" i="1" s="1"/>
</calcChain>
</file>

<file path=xl/sharedStrings.xml><?xml version="1.0" encoding="utf-8"?>
<sst xmlns="http://schemas.openxmlformats.org/spreadsheetml/2006/main" count="319" uniqueCount="217">
  <si>
    <t>NS Order</t>
  </si>
  <si>
    <t>RegionName</t>
  </si>
  <si>
    <t>Abbreviation</t>
  </si>
  <si>
    <t>CountyName</t>
  </si>
  <si>
    <t>Nourishment Analyses</t>
  </si>
  <si>
    <t>Depth_of_Closure</t>
  </si>
  <si>
    <t>2000_to_2020_Beach_Width_Change</t>
  </si>
  <si>
    <t>PSDS_Theoretical_Nourishment_Width_Added_00_20</t>
  </si>
  <si>
    <t>Efficiency_PSDSDATA_00_20</t>
  </si>
  <si>
    <t>PSDS_Number_Nourishments_00_20</t>
  </si>
  <si>
    <t>PSDS_Rotation_Interval_00_20</t>
  </si>
  <si>
    <t>Housing Analyses</t>
  </si>
  <si>
    <t>INF_Median_House_Val</t>
  </si>
  <si>
    <t>INF_Mean_House_Val</t>
  </si>
  <si>
    <t>Zillow Typical Home Values</t>
  </si>
  <si>
    <t>2000 Beach Data - Northern 08/08/2000 @ 15:30 - Southern 07/07/2000 @ 15:31</t>
  </si>
  <si>
    <t>Municipality_2000</t>
  </si>
  <si>
    <t>Muni_acronym_2000</t>
  </si>
  <si>
    <t>North_South_Order_2000</t>
  </si>
  <si>
    <t>Area_m2_2000</t>
  </si>
  <si>
    <t>Avg_Beach_Width_m_2000</t>
  </si>
  <si>
    <t>Alongshore_Length_m_2000</t>
  </si>
  <si>
    <t>2020 Beach Data - Northern 06/13/2020 @15:33, high tide was 4.4ft at 13:57 - Southern 07/22/2020 @15:40, Low tide was 0ft at 14:59</t>
  </si>
  <si>
    <t>Municipality_2020</t>
  </si>
  <si>
    <t>Muni_acronym_2020</t>
  </si>
  <si>
    <t>Area_m2_2020</t>
  </si>
  <si>
    <t>NS_Order_2020</t>
  </si>
  <si>
    <t>Avg_Beach_Width_m_2020</t>
  </si>
  <si>
    <t>Alongshore_Length_m_2020</t>
  </si>
  <si>
    <t>PSDS Nourishment Data</t>
  </si>
  <si>
    <t>PSDS 2000 Volumetric Fill (c/y)_ID1</t>
  </si>
  <si>
    <t>PSDS 2001 Volumetric Fill (c/y)_ID2</t>
  </si>
  <si>
    <t>PSDS_2002_Volumetric_Fill_(c/y)_ID3</t>
  </si>
  <si>
    <t>PSDS 2003 Volumetric Fill (c/y)_ID4</t>
  </si>
  <si>
    <t>PSDS 2004 Volumetric Fill (c/y)_ID5</t>
  </si>
  <si>
    <t>PSDS 2004 Volumetric Fill (c/y)_ID6</t>
  </si>
  <si>
    <t>PSDS 2005 Volumetric Fill (c/y)_D7</t>
  </si>
  <si>
    <t>PSDS 2005 Volumetric Fill (c/y)_ID8</t>
  </si>
  <si>
    <t>PSDS 2006 Volumetric Fill (c/y)_ID9</t>
  </si>
  <si>
    <t>PSDS 2007 Volumetric Fill (c/y)_ID10</t>
  </si>
  <si>
    <t>PSDS 2008 Volumetric Fill (c/y)_ID11</t>
  </si>
  <si>
    <t>PSDS 2009 Volumetric Fill (c/y)_ID12</t>
  </si>
  <si>
    <t>PSDS 2009 Volumetric Fill (c/y)_ID13</t>
  </si>
  <si>
    <t>PSDS 2009 Volumetric Fill (c/y)_ID14</t>
  </si>
  <si>
    <t>PSDS 2010 Volumetric Fill (c/y)_ID15</t>
  </si>
  <si>
    <t>PSDS 2011 Volumetric Fill (c/y)_ID16</t>
  </si>
  <si>
    <t>PSDS 2011 Volumetric Fill (c/y)_ID17</t>
  </si>
  <si>
    <t>PSDS 2012 Volumetric Fill (c/y)_ID18</t>
  </si>
  <si>
    <t>PSDS 2013 Volumetric Fill (c/y)_ID19</t>
  </si>
  <si>
    <t>PSDS 2013 Volumetric Fill (c/y)_ID20</t>
  </si>
  <si>
    <t>PSDS 2013 Volumetric Fill (c/y)_ID21</t>
  </si>
  <si>
    <t>PSDS 2014 Volumetric Fill (c/y)_ID22</t>
  </si>
  <si>
    <t>PSDS 2014 Volumetric Fill (c/y) (questionable)_ID23</t>
  </si>
  <si>
    <t>PSDS 2015 Volumetric Fill (c/y)_ID24</t>
  </si>
  <si>
    <t>PSDS 2016 Volumetric Fill (c/y)_ID25</t>
  </si>
  <si>
    <t>PSDS 2016 Volumetric Fill (c/y)_ID26</t>
  </si>
  <si>
    <t>PSDS 2017 Volumetric Fill (c/y)_ID27</t>
  </si>
  <si>
    <t>PSDS 2018 Volumetric Fill (c/y)_ID28</t>
  </si>
  <si>
    <t>PSDS 2018 Volumetric Fill (c/y)_ID29</t>
  </si>
  <si>
    <t>PSDS 2019 Volumetric Fill (c/y)_ID30</t>
  </si>
  <si>
    <t>PSDS 2020 Volumetric Fill (c/y)_ID31</t>
  </si>
  <si>
    <t>PSDS_2021_Volumetric_Fill_(c/y)_ID32</t>
  </si>
  <si>
    <t>PSDS 2022 Volumetric Fill (c/y)_ID33</t>
  </si>
  <si>
    <t>PSDS 2023 Volumetric Fill (c/y)_ID34</t>
  </si>
  <si>
    <t>total_sand_placed_00_20_cu_yd</t>
  </si>
  <si>
    <t>total_sand_placed_00_20_cu_m</t>
  </si>
  <si>
    <t>percent_share_of_nourishment</t>
  </si>
  <si>
    <t>PSDS_0020_Volume_Totals_per_m</t>
  </si>
  <si>
    <t>Individual Costs</t>
  </si>
  <si>
    <t>PSDS_2000_Cost_ID1</t>
  </si>
  <si>
    <t>PSDS_2001_Cost_ID2</t>
  </si>
  <si>
    <t>PSDS_2002_Cost_ID3</t>
  </si>
  <si>
    <t>PSDS_2003_Cost_ID4</t>
  </si>
  <si>
    <t>PSDS_2004_Cost_ID5</t>
  </si>
  <si>
    <t>PSDS_2004_Cost_ID6</t>
  </si>
  <si>
    <t>PSDS_2005_Cost_ID7</t>
  </si>
  <si>
    <t>PSDS_2005_Cost_ID8</t>
  </si>
  <si>
    <t>PSDS_2006_Cost_ID9</t>
  </si>
  <si>
    <t>PSDS_2007_Cost_ID10</t>
  </si>
  <si>
    <t>PSDS_2008_Cost_ID11</t>
  </si>
  <si>
    <t>PSDS_2009_Cost_ID12</t>
  </si>
  <si>
    <t>PSDS_2009_Cost_ID13</t>
  </si>
  <si>
    <t>PSDS_2009_Cost_ID14</t>
  </si>
  <si>
    <t>PSDS_2010_Cost_ID15</t>
  </si>
  <si>
    <t>PSDS_2011_Cost_ID16</t>
  </si>
  <si>
    <t>PSDS_2011_Cost_ID17</t>
  </si>
  <si>
    <t>PSDS_2012_Cost_ID18</t>
  </si>
  <si>
    <t>PSDS_2013_Cost_ID19</t>
  </si>
  <si>
    <t>PSDS_2013_Cost_ID20</t>
  </si>
  <si>
    <t>PSDS_2013_Cost_ID21</t>
  </si>
  <si>
    <t>PSDS_2014_CostID_22</t>
  </si>
  <si>
    <t>PSDS_2014_CostID_23</t>
  </si>
  <si>
    <t>PSDS_2015_Cost_ID24</t>
  </si>
  <si>
    <t>PSDS_2016_Cost_ID25</t>
  </si>
  <si>
    <t>PSDS_2016_Cost_ID26</t>
  </si>
  <si>
    <t>PSDS_2017_Cost_ID27</t>
  </si>
  <si>
    <t>PSDS_2018_Cost_ID28</t>
  </si>
  <si>
    <t>PSDS_2018_Cost_ID29</t>
  </si>
  <si>
    <t>PSDS_2019_Cost_ID30</t>
  </si>
  <si>
    <t>PSDS_2020_Cost_ID31</t>
  </si>
  <si>
    <t>PSDS_2021_Cost_ID32</t>
  </si>
  <si>
    <t>PSDS_2022_Cost_ID33</t>
  </si>
  <si>
    <t>PSDS_2023_Cost_ID34</t>
  </si>
  <si>
    <t>Combined Yearly Costs</t>
  </si>
  <si>
    <t>2014_Cost</t>
  </si>
  <si>
    <t>2015_Cost</t>
  </si>
  <si>
    <t>2016_Cost</t>
  </si>
  <si>
    <t>2017_Cost</t>
  </si>
  <si>
    <t>2018_Cost</t>
  </si>
  <si>
    <t>2019_Cost</t>
  </si>
  <si>
    <t>2020_Cost</t>
  </si>
  <si>
    <t>2021_Cost</t>
  </si>
  <si>
    <t>2022_Cost</t>
  </si>
  <si>
    <t>Total_Cost_00_20</t>
  </si>
  <si>
    <t>Sea Bright</t>
  </si>
  <si>
    <t>SB</t>
  </si>
  <si>
    <t>Monmouth County</t>
  </si>
  <si>
    <t>Monmouth Beach</t>
  </si>
  <si>
    <t>MB</t>
  </si>
  <si>
    <t>Long Branch</t>
  </si>
  <si>
    <t>LB</t>
  </si>
  <si>
    <t>Deal</t>
  </si>
  <si>
    <t>DL</t>
  </si>
  <si>
    <t>Allenhurst</t>
  </si>
  <si>
    <t>AH</t>
  </si>
  <si>
    <t>Loch Arbour</t>
  </si>
  <si>
    <t>LA</t>
  </si>
  <si>
    <t>Loch Arbor</t>
  </si>
  <si>
    <t>Asbury Park</t>
  </si>
  <si>
    <t>AP</t>
  </si>
  <si>
    <t>Neptune Township (Ocean Grove)</t>
  </si>
  <si>
    <t>OG</t>
  </si>
  <si>
    <t>Ocean Grove</t>
  </si>
  <si>
    <t>Bradley Beach</t>
  </si>
  <si>
    <t>BB</t>
  </si>
  <si>
    <t>Avon by the Sea</t>
  </si>
  <si>
    <t>AV</t>
  </si>
  <si>
    <t>Avon-By-The-Sea</t>
  </si>
  <si>
    <t>Belmar</t>
  </si>
  <si>
    <t>BM</t>
  </si>
  <si>
    <t>Spring Lake</t>
  </si>
  <si>
    <t>SL</t>
  </si>
  <si>
    <t>Sea Girt</t>
  </si>
  <si>
    <t>SG</t>
  </si>
  <si>
    <t>Manasquan</t>
  </si>
  <si>
    <t>MS</t>
  </si>
  <si>
    <t>SH</t>
  </si>
  <si>
    <t>Atlantic County</t>
  </si>
  <si>
    <t>Atlantic City</t>
  </si>
  <si>
    <t>AC</t>
  </si>
  <si>
    <t>Ventnor City</t>
  </si>
  <si>
    <t>VC</t>
  </si>
  <si>
    <t>Margate City</t>
  </si>
  <si>
    <t>MC</t>
  </si>
  <si>
    <t>Longport</t>
  </si>
  <si>
    <t>LP</t>
  </si>
  <si>
    <t>Cape May County</t>
  </si>
  <si>
    <t>Strathmere (Upper Township)</t>
  </si>
  <si>
    <t>SM</t>
  </si>
  <si>
    <t>Strathmere</t>
  </si>
  <si>
    <t>Sea Isle City</t>
  </si>
  <si>
    <t>SIC</t>
  </si>
  <si>
    <t>SI</t>
  </si>
  <si>
    <t>Avalon</t>
  </si>
  <si>
    <t>AVL</t>
  </si>
  <si>
    <t>AL</t>
  </si>
  <si>
    <t>Stone Harbor</t>
  </si>
  <si>
    <t>INF_Rate_2000</t>
  </si>
  <si>
    <t>INF_Rate_2001</t>
  </si>
  <si>
    <t>INF_Rate_2002</t>
  </si>
  <si>
    <t>INF_Rate_2003</t>
  </si>
  <si>
    <t>INF_Rate_2004</t>
  </si>
  <si>
    <t>INF_Rate_2005</t>
  </si>
  <si>
    <t>INF_Rate_2006</t>
  </si>
  <si>
    <t>INF_Rate_2007</t>
  </si>
  <si>
    <t>INF_Rate_2008</t>
  </si>
  <si>
    <t>INF_Rate_2009</t>
  </si>
  <si>
    <t>INF_Rate_2010</t>
  </si>
  <si>
    <t>INF_Rate_2011</t>
  </si>
  <si>
    <t>INF_Rate_2012</t>
  </si>
  <si>
    <t>INF_Rate_2013</t>
  </si>
  <si>
    <t>INF_Rate_2014</t>
  </si>
  <si>
    <t>INF_Rate_2015</t>
  </si>
  <si>
    <t>INF_Rate_2016</t>
  </si>
  <si>
    <t>INF_Rate_2017</t>
  </si>
  <si>
    <t>INF_Rate_2018</t>
  </si>
  <si>
    <t>INF_Rate_2019</t>
  </si>
  <si>
    <t>INF_Rate_2020</t>
  </si>
  <si>
    <t>INF_Prop_2000</t>
  </si>
  <si>
    <t>INF_Prop_2001</t>
  </si>
  <si>
    <t>INF_Prop_2002</t>
  </si>
  <si>
    <t>INF_Prop_2003</t>
  </si>
  <si>
    <t>INF_Prop_2004</t>
  </si>
  <si>
    <t>INF_Prop_2005</t>
  </si>
  <si>
    <t>INF_Prop_2006</t>
  </si>
  <si>
    <t>INF_Prop_2007</t>
  </si>
  <si>
    <t>INF_Prop_2008</t>
  </si>
  <si>
    <t>INF_Prop_2009</t>
  </si>
  <si>
    <t>INF_Prop_2010</t>
  </si>
  <si>
    <t>INF_Prop_2011</t>
  </si>
  <si>
    <t>INF_Prop_2012</t>
  </si>
  <si>
    <t>INF_Prop_2013</t>
  </si>
  <si>
    <t>INF_Prop_2014</t>
  </si>
  <si>
    <t>INF_Prop_2015</t>
  </si>
  <si>
    <t>INF_Prop_2016</t>
  </si>
  <si>
    <t>INF_Prop_2017</t>
  </si>
  <si>
    <t>INF_Prop_2018</t>
  </si>
  <si>
    <t>INF_Prop_2019</t>
  </si>
  <si>
    <t>INF_Prop_2020</t>
  </si>
  <si>
    <t>Couplet</t>
  </si>
  <si>
    <t>Housing_Wealth_Diff</t>
  </si>
  <si>
    <t>Sand_Placed_m_Diff</t>
  </si>
  <si>
    <t>Beach_Width_20_Diff</t>
  </si>
  <si>
    <t>Beach_Width_00_Diff</t>
  </si>
  <si>
    <t>Efficiency_diff</t>
  </si>
  <si>
    <t>Inflation Rates</t>
  </si>
  <si>
    <t>Home Values Adjusted For 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</si>
</sst>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0"/>
  </numFmts>
  <fonts count="7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theme="1"/>
      <name val="Arial"/>
      <family val="2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6" fillId="0" borderId="0"/>
  </cellStyleXfs>
  <cellXfs count="18">
    <xf numFmtId="0" fontId="0" fillId="0" borderId="0" xfId="0"/>
    <xf numFmtId="0" fontId="2" fillId="0" borderId="0" xfId="0" applyFont="1" applyAlignment="1">
      <alignment horizontal="center" vertical="center" textRotation="90" wrapText="1"/>
    </xf>
    <xf numFmtId="0" fontId="2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textRotation="90" wrapText="1"/>
    </xf>
    <xf numFmtId="0" fontId="3" fillId="4" borderId="0" xfId="0" applyFont="1" applyFill="1" applyAlignment="1">
      <alignment horizontal="center" vertical="center" textRotation="90" wrapText="1"/>
    </xf>
    <xf numFmtId="0" fontId="4" fillId="0" borderId="0" xfId="0" applyFont="1" applyBorder="1" applyAlignment="1">
      <alignment horizontal="center" vertical="center" wrapText="1"/>
    </xf>
    <xf numFmtId="0" fontId="1" fillId="2" borderId="1" xfId="1" applyAlignment="1">
      <alignment horizontal="center" vertical="center" wrapText="1"/>
    </xf>
    <xf numFmtId="0" fontId="0" fillId="5" borderId="0" xfId="0" applyFill="1" applyAlignment="1">
      <alignment horizontal="center"/>
    </xf>
    <xf numFmtId="164" fontId="0" fillId="5" borderId="0" xfId="0" applyNumberFormat="1" applyFill="1" applyAlignment="1">
      <alignment horizontal="center"/>
    </xf>
    <xf numFmtId="1" fontId="0" fillId="5" borderId="0" xfId="0" applyNumberForma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6" fillId="0" borderId="0" xfId="2" applyNumberFormat="1" applyAlignment="1">
      <alignment horizontal="center"/>
    </xf>
    <xf numFmtId="165" fontId="0" fillId="5" borderId="0" xfId="0" applyNumberFormat="1" applyFill="1" applyAlignment="1">
      <alignment horizontal="center"/>
    </xf>
    <xf numFmtId="165" fontId="0" fillId="0" borderId="0" xfId="0" applyNumberFormat="1" applyAlignment="1">
      <alignment horizontal="center"/>
    </xf>
  </cellXfs>
  <cellStyles count="3">
    <cellStyle name="Calculation" xfId="1" builtinId="22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D23"/>
  <sheetViews>
    <sheetView tabSelected="1" workbookViewId="0"/>
  </sheetViews>
  <sheetFormatPr defaultColWidth="9.109375" defaultRowHeight="14.4" x14ac:dyDescent="0.3"/>
  <cols>
    <col min="1" max="1" width="5.44140625" style="13" customWidth="1"/>
    <col min="2" max="2" width="18.6640625" style="13" bestFit="1" customWidth="1"/>
    <col min="3" max="3" width="4.5546875" style="13" customWidth="1"/>
    <col min="4" max="9" width="9.109375" style="13" customWidth="1"/>
    <col min="10" max="10" width="8.88671875" style="13" customWidth="1"/>
    <col min="11" max="11" width="9.109375" style="13"/>
    <col min="12" max="12" width="5.44140625" style="13" customWidth="1"/>
    <col min="13" max="19" width="9.109375" style="13"/>
    <col min="20" max="20" width="10.5546875" style="13" bestFit="1" customWidth="1"/>
    <col min="21" max="21" width="9.109375" style="11"/>
    <col min="22" max="42" width="11.33203125" style="13" customWidth="1"/>
    <col min="43" max="43" width="9.109375" style="11"/>
    <col min="44" max="64" width="11.33203125" style="13" customWidth="1"/>
    <col min="65" max="65" width="9.109375" style="11"/>
    <col min="66" max="86" width="11.33203125" style="13" customWidth="1"/>
    <col min="87" max="87" width="9.109375" style="12"/>
    <col min="88" max="93" width="9.109375" style="13"/>
    <col min="94" max="94" width="9.109375" style="11"/>
    <col min="95" max="95" width="14.5546875" style="13" customWidth="1"/>
    <col min="96" max="98" width="9.109375" style="13"/>
    <col min="99" max="99" width="7.33203125" style="13" customWidth="1"/>
    <col min="100" max="100" width="9.109375" style="13"/>
    <col min="101" max="101" width="9.109375" style="11"/>
    <col min="102" max="135" width="12.77734375" style="13" customWidth="1"/>
    <col min="136" max="139" width="9.109375" style="13"/>
    <col min="140" max="140" width="5.33203125" style="12" customWidth="1"/>
    <col min="141" max="175" width="10.5546875" style="13" customWidth="1"/>
    <col min="176" max="176" width="5.33203125" style="12" customWidth="1"/>
    <col min="177" max="186" width="8.44140625" style="13" customWidth="1"/>
    <col min="187" max="16384" width="9.109375" style="13"/>
  </cols>
  <sheetData>
    <row r="1" spans="1:186" s="2" customFormat="1" ht="196.8" customHeight="1" x14ac:dyDescent="0.3">
      <c r="A1" s="1" t="s">
        <v>0</v>
      </c>
      <c r="B1" s="2" t="s">
        <v>1</v>
      </c>
      <c r="C1" s="1" t="s">
        <v>2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3</v>
      </c>
      <c r="K1" s="1" t="s">
        <v>4</v>
      </c>
      <c r="L1" s="1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1" t="s">
        <v>11</v>
      </c>
      <c r="S1" s="2" t="s">
        <v>12</v>
      </c>
      <c r="T1" s="2" t="s">
        <v>13</v>
      </c>
      <c r="U1" s="4" t="s">
        <v>14</v>
      </c>
      <c r="V1" s="3">
        <v>36738</v>
      </c>
      <c r="W1" s="3">
        <v>37103</v>
      </c>
      <c r="X1" s="3">
        <v>37468</v>
      </c>
      <c r="Y1" s="3">
        <v>37833</v>
      </c>
      <c r="Z1" s="3">
        <v>38199</v>
      </c>
      <c r="AA1" s="3">
        <v>38564</v>
      </c>
      <c r="AB1" s="3">
        <v>38929</v>
      </c>
      <c r="AC1" s="3">
        <v>39294</v>
      </c>
      <c r="AD1" s="3">
        <v>39660</v>
      </c>
      <c r="AE1" s="3">
        <v>40025</v>
      </c>
      <c r="AF1" s="3">
        <v>40390</v>
      </c>
      <c r="AG1" s="3">
        <v>40755</v>
      </c>
      <c r="AH1" s="3">
        <v>41121</v>
      </c>
      <c r="AI1" s="3">
        <v>41486</v>
      </c>
      <c r="AJ1" s="3">
        <v>41851</v>
      </c>
      <c r="AK1" s="3">
        <v>42216</v>
      </c>
      <c r="AL1" s="3">
        <v>42582</v>
      </c>
      <c r="AM1" s="3">
        <v>42947</v>
      </c>
      <c r="AN1" s="3">
        <v>43312</v>
      </c>
      <c r="AO1" s="3">
        <v>43677</v>
      </c>
      <c r="AP1" s="3">
        <v>44043</v>
      </c>
      <c r="AQ1" s="4" t="s">
        <v>215</v>
      </c>
      <c r="AR1" s="3" t="s">
        <v>167</v>
      </c>
      <c r="AS1" s="3" t="s">
        <v>168</v>
      </c>
      <c r="AT1" s="3" t="s">
        <v>169</v>
      </c>
      <c r="AU1" s="3" t="s">
        <v>170</v>
      </c>
      <c r="AV1" s="3" t="s">
        <v>171</v>
      </c>
      <c r="AW1" s="3" t="s">
        <v>172</v>
      </c>
      <c r="AX1" s="3" t="s">
        <v>173</v>
      </c>
      <c r="AY1" s="3" t="s">
        <v>174</v>
      </c>
      <c r="AZ1" s="3" t="s">
        <v>175</v>
      </c>
      <c r="BA1" s="3" t="s">
        <v>176</v>
      </c>
      <c r="BB1" s="3" t="s">
        <v>177</v>
      </c>
      <c r="BC1" s="3" t="s">
        <v>178</v>
      </c>
      <c r="BD1" s="3" t="s">
        <v>179</v>
      </c>
      <c r="BE1" s="3" t="s">
        <v>180</v>
      </c>
      <c r="BF1" s="3" t="s">
        <v>181</v>
      </c>
      <c r="BG1" s="3" t="s">
        <v>182</v>
      </c>
      <c r="BH1" s="3" t="s">
        <v>183</v>
      </c>
      <c r="BI1" s="3" t="s">
        <v>184</v>
      </c>
      <c r="BJ1" s="3" t="s">
        <v>185</v>
      </c>
      <c r="BK1" s="3" t="s">
        <v>186</v>
      </c>
      <c r="BL1" s="3" t="s">
        <v>187</v>
      </c>
      <c r="BM1" s="4" t="s">
        <v>216</v>
      </c>
      <c r="BN1" s="3" t="s">
        <v>188</v>
      </c>
      <c r="BO1" s="3" t="s">
        <v>189</v>
      </c>
      <c r="BP1" s="3" t="s">
        <v>190</v>
      </c>
      <c r="BQ1" s="3" t="s">
        <v>191</v>
      </c>
      <c r="BR1" s="3" t="s">
        <v>192</v>
      </c>
      <c r="BS1" s="3" t="s">
        <v>193</v>
      </c>
      <c r="BT1" s="3" t="s">
        <v>194</v>
      </c>
      <c r="BU1" s="3" t="s">
        <v>195</v>
      </c>
      <c r="BV1" s="3" t="s">
        <v>196</v>
      </c>
      <c r="BW1" s="3" t="s">
        <v>197</v>
      </c>
      <c r="BX1" s="3" t="s">
        <v>198</v>
      </c>
      <c r="BY1" s="3" t="s">
        <v>199</v>
      </c>
      <c r="BZ1" s="3" t="s">
        <v>200</v>
      </c>
      <c r="CA1" s="3" t="s">
        <v>201</v>
      </c>
      <c r="CB1" s="3" t="s">
        <v>202</v>
      </c>
      <c r="CC1" s="3" t="s">
        <v>203</v>
      </c>
      <c r="CD1" s="3" t="s">
        <v>204</v>
      </c>
      <c r="CE1" s="3" t="s">
        <v>205</v>
      </c>
      <c r="CF1" s="3" t="s">
        <v>206</v>
      </c>
      <c r="CG1" s="3" t="s">
        <v>207</v>
      </c>
      <c r="CH1" s="3" t="s">
        <v>208</v>
      </c>
      <c r="CI1" s="5" t="s">
        <v>15</v>
      </c>
      <c r="CJ1" s="6" t="s">
        <v>16</v>
      </c>
      <c r="CK1" s="6" t="s">
        <v>17</v>
      </c>
      <c r="CL1" s="6" t="s">
        <v>18</v>
      </c>
      <c r="CM1" s="6" t="s">
        <v>19</v>
      </c>
      <c r="CN1" s="6" t="s">
        <v>20</v>
      </c>
      <c r="CO1" s="6" t="s">
        <v>21</v>
      </c>
      <c r="CP1" s="4" t="s">
        <v>22</v>
      </c>
      <c r="CQ1" s="6" t="s">
        <v>23</v>
      </c>
      <c r="CR1" s="6" t="s">
        <v>24</v>
      </c>
      <c r="CS1" s="6" t="s">
        <v>25</v>
      </c>
      <c r="CT1" s="6" t="s">
        <v>26</v>
      </c>
      <c r="CU1" s="6" t="s">
        <v>27</v>
      </c>
      <c r="CV1" s="6" t="s">
        <v>28</v>
      </c>
      <c r="CW1" s="4" t="s">
        <v>29</v>
      </c>
      <c r="CX1" s="2" t="s">
        <v>30</v>
      </c>
      <c r="CY1" s="2" t="s">
        <v>31</v>
      </c>
      <c r="CZ1" s="2" t="s">
        <v>32</v>
      </c>
      <c r="DA1" s="2" t="s">
        <v>33</v>
      </c>
      <c r="DB1" s="2" t="s">
        <v>34</v>
      </c>
      <c r="DC1" s="2" t="s">
        <v>35</v>
      </c>
      <c r="DD1" s="2" t="s">
        <v>36</v>
      </c>
      <c r="DE1" s="2" t="s">
        <v>37</v>
      </c>
      <c r="DF1" s="2" t="s">
        <v>38</v>
      </c>
      <c r="DG1" s="2" t="s">
        <v>39</v>
      </c>
      <c r="DH1" s="2" t="s">
        <v>40</v>
      </c>
      <c r="DI1" s="2" t="s">
        <v>41</v>
      </c>
      <c r="DJ1" s="2" t="s">
        <v>42</v>
      </c>
      <c r="DK1" s="2" t="s">
        <v>43</v>
      </c>
      <c r="DL1" s="2" t="s">
        <v>44</v>
      </c>
      <c r="DM1" s="2" t="s">
        <v>45</v>
      </c>
      <c r="DN1" s="2" t="s">
        <v>46</v>
      </c>
      <c r="DO1" s="2" t="s">
        <v>47</v>
      </c>
      <c r="DP1" s="2" t="s">
        <v>48</v>
      </c>
      <c r="DQ1" s="2" t="s">
        <v>49</v>
      </c>
      <c r="DR1" s="2" t="s">
        <v>50</v>
      </c>
      <c r="DS1" s="2" t="s">
        <v>51</v>
      </c>
      <c r="DT1" s="2" t="s">
        <v>52</v>
      </c>
      <c r="DU1" s="2" t="s">
        <v>53</v>
      </c>
      <c r="DV1" s="2" t="s">
        <v>54</v>
      </c>
      <c r="DW1" s="2" t="s">
        <v>55</v>
      </c>
      <c r="DX1" s="2" t="s">
        <v>56</v>
      </c>
      <c r="DY1" s="2" t="s">
        <v>57</v>
      </c>
      <c r="DZ1" s="2" t="s">
        <v>58</v>
      </c>
      <c r="EA1" s="2" t="s">
        <v>59</v>
      </c>
      <c r="EB1" s="2" t="s">
        <v>60</v>
      </c>
      <c r="EC1" s="2" t="s">
        <v>61</v>
      </c>
      <c r="ED1" s="2" t="s">
        <v>62</v>
      </c>
      <c r="EE1" s="2" t="s">
        <v>63</v>
      </c>
      <c r="EF1" s="7" t="s">
        <v>64</v>
      </c>
      <c r="EG1" s="7" t="s">
        <v>65</v>
      </c>
      <c r="EH1" s="7" t="s">
        <v>66</v>
      </c>
      <c r="EI1" s="7" t="s">
        <v>67</v>
      </c>
      <c r="EJ1" s="5" t="s">
        <v>68</v>
      </c>
      <c r="EK1" s="2" t="s">
        <v>69</v>
      </c>
      <c r="EL1" s="2" t="s">
        <v>70</v>
      </c>
      <c r="EM1" s="2" t="s">
        <v>71</v>
      </c>
      <c r="EN1" s="2" t="s">
        <v>72</v>
      </c>
      <c r="EO1" s="2" t="s">
        <v>73</v>
      </c>
      <c r="EP1" s="2" t="s">
        <v>74</v>
      </c>
      <c r="EQ1" s="2" t="s">
        <v>75</v>
      </c>
      <c r="ER1" s="2" t="s">
        <v>76</v>
      </c>
      <c r="ES1" s="2" t="s">
        <v>77</v>
      </c>
      <c r="ET1" s="2" t="s">
        <v>78</v>
      </c>
      <c r="EU1" s="2" t="s">
        <v>79</v>
      </c>
      <c r="EV1" s="2" t="s">
        <v>80</v>
      </c>
      <c r="EW1" s="2" t="s">
        <v>81</v>
      </c>
      <c r="EX1" s="2" t="s">
        <v>82</v>
      </c>
      <c r="EY1" s="2" t="s">
        <v>83</v>
      </c>
      <c r="EZ1" s="2" t="s">
        <v>84</v>
      </c>
      <c r="FA1" s="2" t="s">
        <v>85</v>
      </c>
      <c r="FB1" s="2" t="s">
        <v>85</v>
      </c>
      <c r="FC1" s="2" t="s">
        <v>86</v>
      </c>
      <c r="FD1" s="2" t="s">
        <v>87</v>
      </c>
      <c r="FE1" s="2" t="s">
        <v>88</v>
      </c>
      <c r="FF1" s="2" t="s">
        <v>89</v>
      </c>
      <c r="FG1" s="2" t="s">
        <v>90</v>
      </c>
      <c r="FH1" s="2" t="s">
        <v>91</v>
      </c>
      <c r="FI1" s="2" t="s">
        <v>92</v>
      </c>
      <c r="FJ1" s="2" t="s">
        <v>93</v>
      </c>
      <c r="FK1" s="2" t="s">
        <v>94</v>
      </c>
      <c r="FL1" s="2" t="s">
        <v>95</v>
      </c>
      <c r="FM1" s="2" t="s">
        <v>96</v>
      </c>
      <c r="FN1" s="2" t="s">
        <v>97</v>
      </c>
      <c r="FO1" s="2" t="s">
        <v>98</v>
      </c>
      <c r="FP1" s="2" t="s">
        <v>99</v>
      </c>
      <c r="FQ1" s="2" t="s">
        <v>100</v>
      </c>
      <c r="FR1" s="2" t="s">
        <v>101</v>
      </c>
      <c r="FS1" s="2" t="s">
        <v>102</v>
      </c>
      <c r="FT1" s="5" t="s">
        <v>103</v>
      </c>
      <c r="FU1" s="2" t="s">
        <v>104</v>
      </c>
      <c r="FV1" s="2" t="s">
        <v>105</v>
      </c>
      <c r="FW1" s="2" t="s">
        <v>106</v>
      </c>
      <c r="FX1" s="2" t="s">
        <v>107</v>
      </c>
      <c r="FY1" s="2" t="s">
        <v>108</v>
      </c>
      <c r="FZ1" s="2" t="s">
        <v>109</v>
      </c>
      <c r="GA1" s="2" t="s">
        <v>110</v>
      </c>
      <c r="GB1" s="2" t="s">
        <v>111</v>
      </c>
      <c r="GC1" s="2" t="s">
        <v>112</v>
      </c>
      <c r="GD1" s="2" t="s">
        <v>113</v>
      </c>
    </row>
    <row r="2" spans="1:186" s="8" customFormat="1" x14ac:dyDescent="0.3">
      <c r="A2" s="8">
        <v>1</v>
      </c>
      <c r="B2" s="8" t="s">
        <v>114</v>
      </c>
      <c r="C2" s="8" t="s">
        <v>115</v>
      </c>
      <c r="J2" s="8" t="s">
        <v>116</v>
      </c>
      <c r="L2" s="8">
        <v>10</v>
      </c>
      <c r="M2" s="9">
        <f t="shared" ref="M2:M23" si="0">CU2-CN2</f>
        <v>-5.0333239513104928</v>
      </c>
      <c r="N2" s="8">
        <f>(2*EG2)/$L2/$CO2</f>
        <v>130.36319434637471</v>
      </c>
      <c r="O2" s="8">
        <f>IF(AND(N2=0,M2&gt;0),1,IF(AND(N2=0,M2&lt;=0),"NaN",M2/N2))</f>
        <v>-3.8610007805860928E-2</v>
      </c>
      <c r="P2" s="8">
        <f t="shared" ref="P2:P23" si="1">COUNT(CX2:EB2)</f>
        <v>4</v>
      </c>
      <c r="Q2" s="8">
        <f>IF(P2=0,"NaN",20/P2)</f>
        <v>5</v>
      </c>
      <c r="S2" s="10">
        <f>IF(SUM(BN2:CH2)=0,"NaN",MEDIAN(BN2:CH2))</f>
        <v>544534.73606101121</v>
      </c>
      <c r="T2" s="10">
        <f>IF(SUM(BN2:CH2)=0,"NaN",AVERAGE(BN2:CH2))</f>
        <v>542451.43390513607</v>
      </c>
      <c r="U2" s="11"/>
      <c r="V2" s="10">
        <v>228801.21858717501</v>
      </c>
      <c r="W2" s="10">
        <v>280428.51545453502</v>
      </c>
      <c r="X2" s="10">
        <v>323761.77545074502</v>
      </c>
      <c r="Y2" s="10">
        <v>400262.82146768598</v>
      </c>
      <c r="Z2" s="10">
        <v>461575.49858155602</v>
      </c>
      <c r="AA2" s="10">
        <v>555279.82920655597</v>
      </c>
      <c r="AB2" s="10">
        <v>611809.70313565899</v>
      </c>
      <c r="AC2" s="10">
        <v>582832.43525294599</v>
      </c>
      <c r="AD2" s="10">
        <v>551857.92126612598</v>
      </c>
      <c r="AE2" s="10">
        <v>522588.54784927698</v>
      </c>
      <c r="AF2" s="10">
        <v>505739.90969181102</v>
      </c>
      <c r="AG2" s="10">
        <v>493661.19621207699</v>
      </c>
      <c r="AH2" s="10">
        <v>456395.93834361801</v>
      </c>
      <c r="AI2" s="10">
        <v>442361.26518570201</v>
      </c>
      <c r="AJ2" s="10">
        <v>425561.51102366502</v>
      </c>
      <c r="AK2" s="10">
        <v>429516.48760621098</v>
      </c>
      <c r="AL2" s="10">
        <v>452847.34472695098</v>
      </c>
      <c r="AM2" s="10">
        <v>498676.86314527201</v>
      </c>
      <c r="AN2" s="10">
        <v>526799.21184275905</v>
      </c>
      <c r="AO2" s="10">
        <v>538354.67364760803</v>
      </c>
      <c r="AP2" s="10">
        <v>568581.81131877203</v>
      </c>
      <c r="AQ2" s="11"/>
      <c r="AR2" s="16">
        <v>3.2888721496165063E-2</v>
      </c>
      <c r="AS2" s="16">
        <v>2.8843039908195367E-2</v>
      </c>
      <c r="AT2" s="16">
        <v>2.3508826348185297E-2</v>
      </c>
      <c r="AU2" s="16">
        <v>1.727558717854083E-2</v>
      </c>
      <c r="AV2" s="16">
        <v>9.7904355801925469E-3</v>
      </c>
      <c r="AW2" s="16">
        <v>1.8178580442596015E-3</v>
      </c>
      <c r="AX2" s="16">
        <v>-3.3449229627590116E-3</v>
      </c>
      <c r="AY2" s="16">
        <v>-1.1079319634054174E-3</v>
      </c>
      <c r="AZ2" s="16">
        <v>4.8934098997499564E-3</v>
      </c>
      <c r="BA2" s="16">
        <v>1.5235248091937992E-2</v>
      </c>
      <c r="BB2" s="16">
        <v>1.6126764918219072E-2</v>
      </c>
      <c r="BC2" s="16">
        <v>2.1540722483505803E-2</v>
      </c>
      <c r="BD2" s="16">
        <v>2.7613026747848268E-2</v>
      </c>
      <c r="BE2" s="16">
        <v>2.6978579088403398E-2</v>
      </c>
      <c r="BF2" s="16">
        <v>2.5079662791946955E-2</v>
      </c>
      <c r="BG2" s="16">
        <v>2.5870185947085789E-2</v>
      </c>
      <c r="BH2" s="16">
        <v>2.6893536703573639E-2</v>
      </c>
      <c r="BI2" s="16">
        <v>2.3026535336124088E-2</v>
      </c>
      <c r="BJ2" s="16">
        <v>1.6693942729572031E-2</v>
      </c>
      <c r="BK2" s="16">
        <v>2.2786008601595631E-2</v>
      </c>
      <c r="BL2" s="16">
        <v>0</v>
      </c>
      <c r="BM2" s="11"/>
      <c r="BN2" s="10">
        <f>IF(V2=0,"NaN",V2*(1+AR2)^20)</f>
        <v>437047.89983603318</v>
      </c>
      <c r="BO2" s="10">
        <f>IF(W2=0,"NaN",W2*(1+AS2)^19)</f>
        <v>481343.96121527266</v>
      </c>
      <c r="BP2" s="10">
        <f>IF(X2=0,"NaN",X2*(1+AT2)^18)</f>
        <v>491897.0665738777</v>
      </c>
      <c r="BQ2" s="10">
        <f>IF(Y2=0,"NaN",Y2*(1+AU2)^17)</f>
        <v>535552.22979510599</v>
      </c>
      <c r="BR2" s="10">
        <f>IF(Z2=0,"NaN",Z2*(1+AV2)^16)</f>
        <v>539439.56134065182</v>
      </c>
      <c r="BS2" s="10">
        <f>IF(AA2=0,"NaN",AA2*(1+AW2)^15)</f>
        <v>570615.32696214749</v>
      </c>
      <c r="BT2" s="10">
        <f>IF(AB2=0,"NaN",AB2*(1+AX2)^14)</f>
        <v>583773.97303465439</v>
      </c>
      <c r="BU2" s="10">
        <f>IF(AC2=0,"NaN",AC2*(1+AY2)^13)</f>
        <v>574493.41017788975</v>
      </c>
      <c r="BV2" s="10">
        <f>IF(AD2=0,"NaN",AD2*(1+AZ2)^12)</f>
        <v>585150.06585051666</v>
      </c>
      <c r="BW2" s="10">
        <f>IF(AE2=0,"NaN",AE2*(1+BA2)^11)</f>
        <v>617153.86435670685</v>
      </c>
      <c r="BX2" s="10">
        <f>IF(AF2=0,"NaN",AF2*(1+BB2)^10)</f>
        <v>593480.06500070903</v>
      </c>
      <c r="BY2" s="10">
        <f>IF(AG2=0,"NaN",AG2*(1+BC2)^9)</f>
        <v>598039.88137875928</v>
      </c>
      <c r="BZ2" s="10">
        <f>IF(AH2=0,"NaN",AH2*(1+BD2)^8)</f>
        <v>567516.6129967639</v>
      </c>
      <c r="CA2" s="10">
        <f>IF(AI2=0,"NaN",AI2*(1+BE2)^7)</f>
        <v>532974.93730633985</v>
      </c>
      <c r="CB2" s="10">
        <f>IF(AJ2=0,"NaN",AJ2*(1+BF2)^6)</f>
        <v>493751.06615651085</v>
      </c>
      <c r="CC2" s="10">
        <f>IF(AK2=0,"NaN",AK2*(1+BG2)^5)</f>
        <v>488024.7882820791</v>
      </c>
      <c r="CD2" s="10">
        <f>IF(AL2=0,"NaN",AL2*(1+BH2)^4)</f>
        <v>503562.64636123501</v>
      </c>
      <c r="CE2" s="10">
        <f>IF(AM2=0,"NaN",AM2*(1+BI2)^3)</f>
        <v>533924.58013077092</v>
      </c>
      <c r="CF2" s="10">
        <f>IF(AN2=0,"NaN",AN2*(1+BJ2)^2)</f>
        <v>544534.73606101121</v>
      </c>
      <c r="CG2" s="10">
        <f>IF(AO2=0,"NaN",AO2*(1+BK2)^1)</f>
        <v>550621.62787205167</v>
      </c>
      <c r="CH2" s="10">
        <f>IF(AP2=0,"NaN",AP2*(1+BL2)^0)</f>
        <v>568581.81131877203</v>
      </c>
      <c r="CI2" s="12"/>
      <c r="CJ2" s="13" t="s">
        <v>114</v>
      </c>
      <c r="CK2" s="13" t="s">
        <v>115</v>
      </c>
      <c r="CL2" s="13">
        <v>1</v>
      </c>
      <c r="CM2" s="13">
        <v>556577.68602918601</v>
      </c>
      <c r="CN2" s="13">
        <v>93.317777851524994</v>
      </c>
      <c r="CO2" s="13">
        <v>5964.3263999999999</v>
      </c>
      <c r="CP2" s="11"/>
      <c r="CQ2" s="13" t="s">
        <v>114</v>
      </c>
      <c r="CR2" s="13" t="s">
        <v>115</v>
      </c>
      <c r="CS2" s="14">
        <v>526557.28225679905</v>
      </c>
      <c r="CT2" s="13">
        <v>1</v>
      </c>
      <c r="CU2" s="14">
        <v>88.284453900214501</v>
      </c>
      <c r="CV2" s="14">
        <v>5964.32620914156</v>
      </c>
      <c r="CW2" s="11"/>
      <c r="CZ2" s="10">
        <f>2100000*($CV$2/($CV$2+$CV$3))</f>
        <v>1453686.1468798644</v>
      </c>
      <c r="DH2" s="10"/>
      <c r="DI2" s="10"/>
      <c r="DJ2" s="10"/>
      <c r="DK2" s="10"/>
      <c r="DL2" s="10"/>
      <c r="DP2" s="8">
        <f>2460000*($CV$2/($CV$2+$CV$3))</f>
        <v>1702889.486344984</v>
      </c>
      <c r="DV2" s="8">
        <f t="shared" ref="DV2:DV15" si="2">8000000*($CV2/(SUM($CV$2:$CV$15)))</f>
        <v>1428347.2326137358</v>
      </c>
      <c r="EB2" s="8">
        <f t="shared" ref="EB2:EB15" si="3">2800000*($CV2/(SUM($CV$2:$CV$15)))</f>
        <v>499921.53141480754</v>
      </c>
      <c r="EF2" s="8">
        <f t="shared" ref="EF2:EF15" si="4">SUM(CX2:EB2)</f>
        <v>5084844.3972533923</v>
      </c>
      <c r="EG2" s="8">
        <f>EF2*0.764555</f>
        <v>3887643.2081420673</v>
      </c>
      <c r="EH2" s="8">
        <f t="shared" ref="EH2:EH23" si="5">EF2/SUM(EF$2:EF$23)</f>
        <v>9.7393486615645203E-2</v>
      </c>
      <c r="EI2" s="8">
        <f t="shared" ref="EI2:EI23" si="6">EG2/CV2</f>
        <v>651.81599258998483</v>
      </c>
      <c r="EJ2" s="12"/>
      <c r="EM2" s="8">
        <f>25590800*($CV$2/($CV$2+$CV$3))</f>
        <v>17714757.832177732</v>
      </c>
      <c r="FD2" s="8">
        <f>25590800*($CV$2/($CV$2+$CV$3))</f>
        <v>17714757.832177732</v>
      </c>
      <c r="FP2" s="8">
        <f t="shared" ref="FP2:FP15" si="7">55100000*($CV2/(SUM($CV$2:$CV$15)))</f>
        <v>9837741.5646271054</v>
      </c>
      <c r="FT2" s="12"/>
      <c r="FU2" s="8">
        <f>FG2+FH2</f>
        <v>0</v>
      </c>
      <c r="FV2" s="8">
        <f>FI2</f>
        <v>0</v>
      </c>
      <c r="FW2" s="8">
        <f>FJ2+FK2</f>
        <v>0</v>
      </c>
      <c r="FX2" s="8">
        <f>FL2</f>
        <v>0</v>
      </c>
      <c r="FY2" s="8">
        <f>FM2+FN2</f>
        <v>0</v>
      </c>
      <c r="FZ2" s="8">
        <f>FO2</f>
        <v>0</v>
      </c>
      <c r="GA2" s="8">
        <f>FP2</f>
        <v>9837741.5646271054</v>
      </c>
      <c r="GB2" s="8">
        <f>FQ2</f>
        <v>0</v>
      </c>
      <c r="GC2" s="8">
        <f>FR2</f>
        <v>0</v>
      </c>
      <c r="GD2" s="8">
        <f>SUM(EK2:FP2)</f>
        <v>45267257.228982568</v>
      </c>
    </row>
    <row r="3" spans="1:186" x14ac:dyDescent="0.3">
      <c r="A3" s="13">
        <v>2</v>
      </c>
      <c r="B3" s="13" t="s">
        <v>117</v>
      </c>
      <c r="C3" s="13" t="s">
        <v>118</v>
      </c>
      <c r="D3" s="13" t="str">
        <f>C3&amp;"/"&amp;C2</f>
        <v>MB/SB</v>
      </c>
      <c r="E3" s="13">
        <f>IF(T3&gt;T2,T3-T2,T2-T3)</f>
        <v>33173.918904179358</v>
      </c>
      <c r="F3" s="13">
        <f>IF(T3&gt;T2,EI3-EI2,EI2-EI3)</f>
        <v>247.95506419908065</v>
      </c>
      <c r="G3" s="13">
        <f>IF(T3&gt;T2,CU3-CU2,CU2-CU3)</f>
        <v>-8.5429890651072071</v>
      </c>
      <c r="H3" s="13">
        <f>IF(T3&gt;T2,CN3-CN2,CN2-CN3)</f>
        <v>11.313583748068012</v>
      </c>
      <c r="I3" s="13">
        <f>IF(T3&gt;T2,O3-O2,O2-O3)</f>
        <v>-9.9702384958720996E-2</v>
      </c>
      <c r="J3" s="13" t="s">
        <v>116</v>
      </c>
      <c r="L3" s="13">
        <f>L2</f>
        <v>10</v>
      </c>
      <c r="M3" s="13">
        <f t="shared" si="0"/>
        <v>-24.889896764485712</v>
      </c>
      <c r="N3" s="13">
        <f>(2*EG3)/$L3/$CO3</f>
        <v>179.95420559927831</v>
      </c>
      <c r="O3" s="13">
        <f t="shared" ref="O3:O23" si="8">IF(AND(N3=0,M3&gt;0),1,IF(AND(N3=0,M3&lt;=0),"NaN",M3/N3))</f>
        <v>-0.13831239276458193</v>
      </c>
      <c r="P3" s="13">
        <f t="shared" si="1"/>
        <v>6</v>
      </c>
      <c r="Q3" s="13">
        <f t="shared" ref="Q3:Q23" si="9">IF(P3=0,"NaN",20/P3)</f>
        <v>3.3333333333333335</v>
      </c>
      <c r="S3" s="14">
        <f t="shared" ref="S3:S23" si="10">IF(SUM(BN3:CH3)=0,"NaN",MEDIAN(BN3:CH3))</f>
        <v>592521.23191284621</v>
      </c>
      <c r="T3" s="14">
        <f t="shared" ref="T3:T23" si="11">IF(SUM(BN3:CH3)=0,"NaN",AVERAGE(BN3:CH3))</f>
        <v>575625.35280931543</v>
      </c>
      <c r="V3" s="14">
        <v>233156.027987093</v>
      </c>
      <c r="W3" s="14">
        <v>286556.86684956198</v>
      </c>
      <c r="X3" s="14">
        <v>317548.15614818397</v>
      </c>
      <c r="Y3" s="14">
        <v>380059.14606495202</v>
      </c>
      <c r="Z3" s="14">
        <v>423378.70386886701</v>
      </c>
      <c r="AA3" s="14">
        <v>520058.30453693098</v>
      </c>
      <c r="AB3" s="14">
        <v>584519.70161607803</v>
      </c>
      <c r="AC3" s="14">
        <v>564969.09063208499</v>
      </c>
      <c r="AD3" s="14">
        <v>542820.94903709495</v>
      </c>
      <c r="AE3" s="14">
        <v>516972.73678475799</v>
      </c>
      <c r="AF3" s="14">
        <v>533913.00905989297</v>
      </c>
      <c r="AG3" s="14">
        <v>519253.77793985402</v>
      </c>
      <c r="AH3" s="14">
        <v>486150.95270294102</v>
      </c>
      <c r="AI3" s="14">
        <v>488785.17184673098</v>
      </c>
      <c r="AJ3" s="14">
        <v>517544.141342544</v>
      </c>
      <c r="AK3" s="14">
        <v>521485.06484513002</v>
      </c>
      <c r="AL3" s="14">
        <v>548495.63596727396</v>
      </c>
      <c r="AM3" s="14">
        <v>578127.26938555005</v>
      </c>
      <c r="AN3" s="14">
        <v>624892.70066150196</v>
      </c>
      <c r="AO3" s="14">
        <v>640905.43805827596</v>
      </c>
      <c r="AP3" s="14">
        <v>657640.34498000704</v>
      </c>
      <c r="AR3" s="17">
        <v>3.2888721496165063E-2</v>
      </c>
      <c r="AS3" s="17">
        <v>2.8843039908195367E-2</v>
      </c>
      <c r="AT3" s="17">
        <v>2.3508826348185297E-2</v>
      </c>
      <c r="AU3" s="17">
        <v>1.727558717854083E-2</v>
      </c>
      <c r="AV3" s="17">
        <v>9.7904355801925469E-3</v>
      </c>
      <c r="AW3" s="17">
        <v>1.8178580442596015E-3</v>
      </c>
      <c r="AX3" s="17">
        <v>-3.3449229627590116E-3</v>
      </c>
      <c r="AY3" s="17">
        <v>-1.1079319634054174E-3</v>
      </c>
      <c r="AZ3" s="17">
        <v>4.8934098997499564E-3</v>
      </c>
      <c r="BA3" s="17">
        <v>1.5235248091937992E-2</v>
      </c>
      <c r="BB3" s="17">
        <v>1.6126764918219072E-2</v>
      </c>
      <c r="BC3" s="17">
        <v>2.1540722483505803E-2</v>
      </c>
      <c r="BD3" s="17">
        <v>2.7613026747848268E-2</v>
      </c>
      <c r="BE3" s="17">
        <v>2.6978579088403398E-2</v>
      </c>
      <c r="BF3" s="17">
        <v>2.5079662791946955E-2</v>
      </c>
      <c r="BG3" s="17">
        <v>2.5870185947085789E-2</v>
      </c>
      <c r="BH3" s="17">
        <v>2.6893536703573639E-2</v>
      </c>
      <c r="BI3" s="17">
        <v>2.3026535336124088E-2</v>
      </c>
      <c r="BJ3" s="17">
        <v>1.6693942729572031E-2</v>
      </c>
      <c r="BK3" s="17">
        <v>2.2786008601595631E-2</v>
      </c>
      <c r="BL3" s="17">
        <v>0</v>
      </c>
      <c r="BN3" s="14">
        <f t="shared" ref="BN3:BN23" si="12">IF(V3=0,"NaN",V3*(1+AR3)^20)</f>
        <v>445366.30090999953</v>
      </c>
      <c r="BO3" s="14">
        <f t="shared" ref="BO3:BO23" si="13">IF(W3=0,"NaN",W3*(1+AS3)^19)</f>
        <v>491863.02319946548</v>
      </c>
      <c r="BP3" s="14">
        <f t="shared" ref="BP3:BP23" si="14">IF(X3=0,"NaN",X3*(1+AT3)^18)</f>
        <v>482456.60343247885</v>
      </c>
      <c r="BQ3" s="14">
        <f t="shared" ref="BQ3:BQ23" si="15">IF(Y3=0,"NaN",Y3*(1+AU3)^17)</f>
        <v>508519.68309912406</v>
      </c>
      <c r="BR3" s="14">
        <f t="shared" ref="BR3:BR23" si="16">IF(Z3=0,"NaN",Z3*(1+AV3)^16)</f>
        <v>494799.27552012703</v>
      </c>
      <c r="BS3" s="14">
        <f t="shared" ref="BS3:BS23" si="17">IF(AA3=0,"NaN",AA3*(1+AW3)^15)</f>
        <v>534421.06821483898</v>
      </c>
      <c r="BT3" s="14">
        <f t="shared" ref="BT3:BT23" si="18">IF(AB3=0,"NaN",AB3*(1+AX3)^14)</f>
        <v>557734.5157825764</v>
      </c>
      <c r="BU3" s="14">
        <f t="shared" ref="BU3:BU23" si="19">IF(AC3=0,"NaN",AC3*(1+AY3)^13)</f>
        <v>556885.6499578061</v>
      </c>
      <c r="BV3" s="14">
        <f t="shared" ref="BV3:BV23" si="20">IF(AD3=0,"NaN",AD3*(1+AZ3)^12)</f>
        <v>575567.91673000646</v>
      </c>
      <c r="BW3" s="14">
        <f t="shared" ref="BW3:BW23" si="21">IF(AE3=0,"NaN",AE3*(1+BA3)^11)</f>
        <v>610521.84091450041</v>
      </c>
      <c r="BX3" s="14">
        <f t="shared" ref="BX3:BX23" si="22">IF(AF3=0,"NaN",AF3*(1+BB3)^10)</f>
        <v>626540.87852129852</v>
      </c>
      <c r="BY3" s="14">
        <f t="shared" ref="BY3:BY23" si="23">IF(AG3=0,"NaN",AG3*(1+BC3)^9)</f>
        <v>629043.70476632961</v>
      </c>
      <c r="BZ3" s="14">
        <f t="shared" ref="BZ3:BZ23" si="24">IF(AH3=0,"NaN",AH3*(1+BD3)^8)</f>
        <v>604516.20819508785</v>
      </c>
      <c r="CA3" s="14">
        <f t="shared" ref="CA3:CA23" si="25">IF(AI3=0,"NaN",AI3*(1+BE3)^7)</f>
        <v>588908.35799540125</v>
      </c>
      <c r="CB3" s="14">
        <f t="shared" ref="CB3:CB23" si="26">IF(AJ3=0,"NaN",AJ3*(1+BF3)^6)</f>
        <v>600472.46978763281</v>
      </c>
      <c r="CC3" s="14">
        <f t="shared" ref="CC3:CC23" si="27">IF(AK3=0,"NaN",AK3*(1+BG3)^5)</f>
        <v>592521.23191284621</v>
      </c>
      <c r="CD3" s="14">
        <f t="shared" ref="CD3:CD23" si="28">IF(AL3=0,"NaN",AL3*(1+BH3)^4)</f>
        <v>609922.78563940327</v>
      </c>
      <c r="CE3" s="14">
        <f t="shared" ref="CE3:CE23" si="29">IF(AM3=0,"NaN",AM3*(1+BI3)^3)</f>
        <v>618990.73805416736</v>
      </c>
      <c r="CF3" s="14">
        <f t="shared" ref="CF3:CF23" si="30">IF(AN3=0,"NaN",AN3*(1+BJ3)^2)</f>
        <v>645930.69649984641</v>
      </c>
      <c r="CG3" s="14">
        <f t="shared" ref="CG3:CG23" si="31">IF(AO3=0,"NaN",AO3*(1+BK3)^1)</f>
        <v>655509.11488268129</v>
      </c>
      <c r="CH3" s="14">
        <f t="shared" ref="CH3:CH23" si="32">IF(AP3=0,"NaN",AP3*(1+BL3)^0)</f>
        <v>657640.34498000704</v>
      </c>
      <c r="CJ3" s="13" t="s">
        <v>117</v>
      </c>
      <c r="CK3" s="13" t="s">
        <v>118</v>
      </c>
      <c r="CL3" s="13">
        <v>2</v>
      </c>
      <c r="CM3" s="13">
        <v>277457.25943533902</v>
      </c>
      <c r="CN3" s="13">
        <v>104.63136159959301</v>
      </c>
      <c r="CO3" s="13">
        <v>2651.76</v>
      </c>
      <c r="CQ3" s="13" t="s">
        <v>117</v>
      </c>
      <c r="CR3" s="13" t="s">
        <v>118</v>
      </c>
      <c r="CS3" s="14">
        <v>211455.22002457699</v>
      </c>
      <c r="CT3" s="13">
        <v>2</v>
      </c>
      <c r="CU3" s="14">
        <v>79.741464835107294</v>
      </c>
      <c r="CV3" s="14">
        <v>2651.7599151436798</v>
      </c>
      <c r="CZ3" s="14">
        <f>2100000*($CV$3/($CV$3+$CV$2))</f>
        <v>646313.85312013538</v>
      </c>
      <c r="DH3" s="14"/>
      <c r="DI3" s="14">
        <v>60000</v>
      </c>
      <c r="DJ3" s="14"/>
      <c r="DK3" s="14"/>
      <c r="DL3" s="14"/>
      <c r="DO3" s="13">
        <v>800000</v>
      </c>
      <c r="DP3" s="13">
        <f>2460000*($CV$3/($CV$3+$CV$2))</f>
        <v>757110.51365501585</v>
      </c>
      <c r="DV3" s="13">
        <f t="shared" si="2"/>
        <v>635048.08481906634</v>
      </c>
      <c r="EB3" s="13">
        <f t="shared" si="3"/>
        <v>222266.82968667324</v>
      </c>
      <c r="EF3" s="13">
        <f t="shared" si="4"/>
        <v>3120739.281280891</v>
      </c>
      <c r="EG3" s="13">
        <f t="shared" ref="EG3:EG23" si="33">EF3*0.764555</f>
        <v>2385976.8211997114</v>
      </c>
      <c r="EH3" s="13">
        <f t="shared" si="5"/>
        <v>5.9773644123018478E-2</v>
      </c>
      <c r="EI3" s="13">
        <f t="shared" si="6"/>
        <v>899.77105678906548</v>
      </c>
      <c r="EM3" s="13">
        <f>25590800*($CV$3/($CV$3+$CV$2))</f>
        <v>7876042.1678222679</v>
      </c>
      <c r="EV3" s="13">
        <v>2550000</v>
      </c>
      <c r="FC3" s="13">
        <v>18461538</v>
      </c>
      <c r="FD3" s="13">
        <f>25590800*($CV$3/($CV$3+$CV$2))</f>
        <v>7876042.1678222679</v>
      </c>
      <c r="FP3" s="13">
        <f t="shared" si="7"/>
        <v>4373893.6841913201</v>
      </c>
      <c r="FU3" s="13">
        <f t="shared" ref="FU3:FU15" si="34">FG3+FH3</f>
        <v>0</v>
      </c>
      <c r="FV3" s="13">
        <f t="shared" ref="FV3:FV15" si="35">FI3</f>
        <v>0</v>
      </c>
      <c r="FW3" s="13">
        <f t="shared" ref="FW3:FW15" si="36">FJ3+FK3</f>
        <v>0</v>
      </c>
      <c r="FX3" s="13">
        <f t="shared" ref="FX3:FX15" si="37">FL3</f>
        <v>0</v>
      </c>
      <c r="FY3" s="13">
        <f t="shared" ref="FY3:FY15" si="38">FM3+FN3</f>
        <v>0</v>
      </c>
      <c r="FZ3" s="13">
        <f t="shared" ref="FZ3:GC15" si="39">FO3</f>
        <v>0</v>
      </c>
      <c r="GA3" s="13">
        <f t="shared" si="39"/>
        <v>4373893.6841913201</v>
      </c>
      <c r="GB3" s="13">
        <f t="shared" si="39"/>
        <v>0</v>
      </c>
      <c r="GC3" s="13">
        <f t="shared" si="39"/>
        <v>0</v>
      </c>
      <c r="GD3" s="13">
        <f t="shared" ref="GD3:GD15" si="40">SUM(EK3:FP3)</f>
        <v>41137516.01983586</v>
      </c>
    </row>
    <row r="4" spans="1:186" s="8" customFormat="1" x14ac:dyDescent="0.3">
      <c r="A4" s="8">
        <v>3</v>
      </c>
      <c r="B4" s="8" t="s">
        <v>119</v>
      </c>
      <c r="C4" s="8" t="s">
        <v>120</v>
      </c>
      <c r="D4" s="8" t="str">
        <f t="shared" ref="D4:D23" si="41">C4&amp;"/"&amp;C3</f>
        <v>LB/MB</v>
      </c>
      <c r="E4" s="13">
        <f t="shared" ref="E4:E15" si="42">IF(T4&gt;T3,T4-T3,T3-T4)</f>
        <v>181937.37427178456</v>
      </c>
      <c r="F4" s="13">
        <f>IF(T4&gt;T3,EI4-EI3,EI3-EI4)</f>
        <v>116.1290674293175</v>
      </c>
      <c r="G4" s="13">
        <f>IF(T4&gt;T3,CU4-CU3,CU3-CU4)</f>
        <v>-5.8298672470789086</v>
      </c>
      <c r="H4" s="13">
        <f>IF(T4&gt;T3,CN4-CN3,CN3-CN4)</f>
        <v>7.9250792684411095</v>
      </c>
      <c r="I4" s="13">
        <f>IF(T4&gt;T3,O4-O3,O3-O4)</f>
        <v>-6.7266234209566234E-2</v>
      </c>
      <c r="J4" s="8" t="s">
        <v>116</v>
      </c>
      <c r="L4" s="8">
        <f t="shared" ref="L4:L23" si="43">L3</f>
        <v>10</v>
      </c>
      <c r="M4" s="8">
        <f t="shared" si="0"/>
        <v>-11.134950248965694</v>
      </c>
      <c r="N4" s="8">
        <f>(2*EG4)/$L4/$CO4</f>
        <v>156.72839285664082</v>
      </c>
      <c r="O4" s="8">
        <f t="shared" si="8"/>
        <v>-7.1046158555015698E-2</v>
      </c>
      <c r="P4" s="8">
        <f t="shared" si="1"/>
        <v>5</v>
      </c>
      <c r="Q4" s="8">
        <f t="shared" si="9"/>
        <v>4</v>
      </c>
      <c r="S4" s="10">
        <f t="shared" si="10"/>
        <v>388001.64507234818</v>
      </c>
      <c r="T4" s="10">
        <f t="shared" si="11"/>
        <v>393687.97853753087</v>
      </c>
      <c r="U4" s="11"/>
      <c r="V4" s="10">
        <v>173359.44166484001</v>
      </c>
      <c r="W4" s="10">
        <v>201316.88820762801</v>
      </c>
      <c r="X4" s="10">
        <v>233071.40011451501</v>
      </c>
      <c r="Y4" s="10">
        <v>286134.639764147</v>
      </c>
      <c r="Z4" s="10">
        <v>335760.39867841202</v>
      </c>
      <c r="AA4" s="10">
        <v>401287.85322415101</v>
      </c>
      <c r="AB4" s="10">
        <v>455280.41157571197</v>
      </c>
      <c r="AC4" s="10">
        <v>437794.96309082001</v>
      </c>
      <c r="AD4" s="10">
        <v>406590.190368829</v>
      </c>
      <c r="AE4" s="10">
        <v>361366.76138257602</v>
      </c>
      <c r="AF4" s="10">
        <v>327921.52050537098</v>
      </c>
      <c r="AG4" s="10">
        <v>318612.00853246002</v>
      </c>
      <c r="AH4" s="10">
        <v>301649.952524169</v>
      </c>
      <c r="AI4" s="10">
        <v>305103.76161356003</v>
      </c>
      <c r="AJ4" s="10">
        <v>319633.50878881599</v>
      </c>
      <c r="AK4" s="10">
        <v>330805.10446673498</v>
      </c>
      <c r="AL4" s="10">
        <v>348924.83783369802</v>
      </c>
      <c r="AM4" s="10">
        <v>366770.41658458399</v>
      </c>
      <c r="AN4" s="10">
        <v>397821.67639097298</v>
      </c>
      <c r="AO4" s="10">
        <v>422395.80110041099</v>
      </c>
      <c r="AP4" s="10">
        <v>441061.05929606903</v>
      </c>
      <c r="AQ4" s="11"/>
      <c r="AR4" s="16">
        <v>3.2888721496165063E-2</v>
      </c>
      <c r="AS4" s="16">
        <v>2.8843039908195367E-2</v>
      </c>
      <c r="AT4" s="16">
        <v>2.3508826348185297E-2</v>
      </c>
      <c r="AU4" s="16">
        <v>1.727558717854083E-2</v>
      </c>
      <c r="AV4" s="16">
        <v>9.7904355801925469E-3</v>
      </c>
      <c r="AW4" s="16">
        <v>1.8178580442596015E-3</v>
      </c>
      <c r="AX4" s="16">
        <v>-3.3449229627590116E-3</v>
      </c>
      <c r="AY4" s="16">
        <v>-1.1079319634054174E-3</v>
      </c>
      <c r="AZ4" s="16">
        <v>4.8934098997499564E-3</v>
      </c>
      <c r="BA4" s="16">
        <v>1.5235248091937992E-2</v>
      </c>
      <c r="BB4" s="16">
        <v>1.6126764918219072E-2</v>
      </c>
      <c r="BC4" s="16">
        <v>2.1540722483505803E-2</v>
      </c>
      <c r="BD4" s="16">
        <v>2.7613026747848268E-2</v>
      </c>
      <c r="BE4" s="16">
        <v>2.6978579088403398E-2</v>
      </c>
      <c r="BF4" s="16">
        <v>2.5079662791946955E-2</v>
      </c>
      <c r="BG4" s="16">
        <v>2.5870185947085789E-2</v>
      </c>
      <c r="BH4" s="16">
        <v>2.6893536703573639E-2</v>
      </c>
      <c r="BI4" s="16">
        <v>2.3026535336124088E-2</v>
      </c>
      <c r="BJ4" s="16">
        <v>1.6693942729572031E-2</v>
      </c>
      <c r="BK4" s="16">
        <v>2.2786008601595631E-2</v>
      </c>
      <c r="BL4" s="16">
        <v>0</v>
      </c>
      <c r="BM4" s="11"/>
      <c r="BN4" s="10">
        <f t="shared" si="12"/>
        <v>331145.00160539162</v>
      </c>
      <c r="BO4" s="10">
        <f t="shared" si="13"/>
        <v>345552.12144644541</v>
      </c>
      <c r="BP4" s="10">
        <f t="shared" si="14"/>
        <v>354109.55434434273</v>
      </c>
      <c r="BQ4" s="10">
        <f t="shared" si="15"/>
        <v>382848.55881794583</v>
      </c>
      <c r="BR4" s="10">
        <f t="shared" si="16"/>
        <v>392400.4691220462</v>
      </c>
      <c r="BS4" s="10">
        <f t="shared" si="17"/>
        <v>412370.46175552619</v>
      </c>
      <c r="BT4" s="10">
        <f t="shared" si="18"/>
        <v>434417.52124593785</v>
      </c>
      <c r="BU4" s="10">
        <f t="shared" si="19"/>
        <v>431531.09897803556</v>
      </c>
      <c r="BV4" s="10">
        <f t="shared" si="20"/>
        <v>431118.71280681045</v>
      </c>
      <c r="BW4" s="10">
        <f t="shared" si="21"/>
        <v>426758.09516906418</v>
      </c>
      <c r="BX4" s="10">
        <f t="shared" si="22"/>
        <v>384812.19610145816</v>
      </c>
      <c r="BY4" s="10">
        <f t="shared" si="23"/>
        <v>385978.66158138029</v>
      </c>
      <c r="BZ4" s="10">
        <f t="shared" si="24"/>
        <v>375093.95896126929</v>
      </c>
      <c r="CA4" s="10">
        <f t="shared" si="25"/>
        <v>367601.48551806697</v>
      </c>
      <c r="CB4" s="10">
        <f t="shared" si="26"/>
        <v>370849.76356108533</v>
      </c>
      <c r="CC4" s="10">
        <f t="shared" si="27"/>
        <v>375867.04056404397</v>
      </c>
      <c r="CD4" s="10">
        <f t="shared" si="28"/>
        <v>388001.64507234818</v>
      </c>
      <c r="CE4" s="10">
        <f t="shared" si="29"/>
        <v>392694.65891034214</v>
      </c>
      <c r="CF4" s="10">
        <f t="shared" si="30"/>
        <v>411214.96897297434</v>
      </c>
      <c r="CG4" s="10">
        <f t="shared" si="31"/>
        <v>432020.51545756281</v>
      </c>
      <c r="CH4" s="10">
        <f t="shared" si="32"/>
        <v>441061.05929606903</v>
      </c>
      <c r="CI4" s="12"/>
      <c r="CJ4" s="13" t="s">
        <v>119</v>
      </c>
      <c r="CK4" s="13" t="s">
        <v>120</v>
      </c>
      <c r="CL4" s="13">
        <v>3</v>
      </c>
      <c r="CM4" s="13">
        <v>672378.74350680003</v>
      </c>
      <c r="CN4" s="13">
        <v>96.706282331151897</v>
      </c>
      <c r="CO4" s="13">
        <v>6952.7928000000002</v>
      </c>
      <c r="CP4" s="11"/>
      <c r="CQ4" s="13" t="s">
        <v>119</v>
      </c>
      <c r="CR4" s="13" t="s">
        <v>120</v>
      </c>
      <c r="CS4" s="14">
        <v>594959.72254872206</v>
      </c>
      <c r="CT4" s="13">
        <v>3</v>
      </c>
      <c r="CU4" s="14">
        <v>85.571332082186203</v>
      </c>
      <c r="CV4" s="14">
        <v>6952.7925775106296</v>
      </c>
      <c r="CW4" s="11"/>
      <c r="CZ4" s="10"/>
      <c r="DI4" s="8">
        <v>700000</v>
      </c>
      <c r="DS4" s="8">
        <v>3500000</v>
      </c>
      <c r="DV4" s="8">
        <f t="shared" si="2"/>
        <v>1665066.8807824969</v>
      </c>
      <c r="DW4" s="8">
        <f>1400000*(79/(84+79))</f>
        <v>678527.60736196314</v>
      </c>
      <c r="EB4" s="8">
        <f t="shared" si="3"/>
        <v>582773.40827387385</v>
      </c>
      <c r="EF4" s="8">
        <f t="shared" si="4"/>
        <v>7126367.896418334</v>
      </c>
      <c r="EG4" s="8">
        <f t="shared" si="33"/>
        <v>5448500.2070461195</v>
      </c>
      <c r="EH4" s="8">
        <f t="shared" si="5"/>
        <v>0.13649617610971224</v>
      </c>
      <c r="EI4" s="8">
        <f t="shared" si="6"/>
        <v>783.64198935974798</v>
      </c>
      <c r="EJ4" s="12"/>
      <c r="EV4" s="8">
        <v>18539000</v>
      </c>
      <c r="FG4" s="8">
        <v>32307692</v>
      </c>
      <c r="FK4" s="8">
        <v>38200000</v>
      </c>
      <c r="FP4" s="8">
        <f t="shared" si="7"/>
        <v>11468148.141389446</v>
      </c>
      <c r="FT4" s="12"/>
      <c r="FU4" s="8">
        <f t="shared" si="34"/>
        <v>32307692</v>
      </c>
      <c r="FV4" s="8">
        <f t="shared" si="35"/>
        <v>0</v>
      </c>
      <c r="FW4" s="8">
        <f t="shared" si="36"/>
        <v>38200000</v>
      </c>
      <c r="FX4" s="8">
        <f t="shared" si="37"/>
        <v>0</v>
      </c>
      <c r="FY4" s="8">
        <f t="shared" si="38"/>
        <v>0</v>
      </c>
      <c r="FZ4" s="8">
        <f t="shared" si="39"/>
        <v>0</v>
      </c>
      <c r="GA4" s="8">
        <f t="shared" si="39"/>
        <v>11468148.141389446</v>
      </c>
      <c r="GB4" s="8">
        <f t="shared" si="39"/>
        <v>0</v>
      </c>
      <c r="GC4" s="8">
        <f t="shared" si="39"/>
        <v>0</v>
      </c>
      <c r="GD4" s="8">
        <f t="shared" si="40"/>
        <v>100514840.14138944</v>
      </c>
    </row>
    <row r="5" spans="1:186" x14ac:dyDescent="0.3">
      <c r="A5" s="13">
        <v>4</v>
      </c>
      <c r="B5" s="13" t="s">
        <v>121</v>
      </c>
      <c r="C5" s="13" t="s">
        <v>122</v>
      </c>
      <c r="D5" s="13" t="str">
        <f t="shared" si="41"/>
        <v>DL/LB</v>
      </c>
      <c r="E5" s="13">
        <f t="shared" si="42"/>
        <v>1137343.9601900431</v>
      </c>
      <c r="F5" s="13">
        <f>IF(T5&gt;T4,EI5-EI4,EI4-EI5)</f>
        <v>-323.02450231721656</v>
      </c>
      <c r="G5" s="13">
        <f>IF(T5&gt;T4,CU5-CU4,CU4-CU5)</f>
        <v>4.2450978642277022</v>
      </c>
      <c r="H5" s="13">
        <f>IF(T5&gt;T4,CN5-CN4,CN4-CN5)</f>
        <v>-58.100478662716</v>
      </c>
      <c r="I5" s="13">
        <f>IF(T5&gt;T4,O5-O4,O4-O5)</f>
        <v>0.62693721086312804</v>
      </c>
      <c r="J5" s="13" t="s">
        <v>116</v>
      </c>
      <c r="L5" s="13">
        <f t="shared" si="43"/>
        <v>10</v>
      </c>
      <c r="M5" s="13">
        <f t="shared" si="0"/>
        <v>51.210626277978008</v>
      </c>
      <c r="N5" s="13">
        <f>(2*EG5)/$L5/$CO5</f>
        <v>92.12349446055417</v>
      </c>
      <c r="O5" s="13">
        <f t="shared" si="8"/>
        <v>0.55589105230811231</v>
      </c>
      <c r="P5" s="13">
        <f t="shared" si="1"/>
        <v>3</v>
      </c>
      <c r="Q5" s="13">
        <f t="shared" si="9"/>
        <v>6.666666666666667</v>
      </c>
      <c r="S5" s="14">
        <f t="shared" si="10"/>
        <v>1606373.304475534</v>
      </c>
      <c r="T5" s="14">
        <f t="shared" si="11"/>
        <v>1531031.938727574</v>
      </c>
      <c r="V5" s="14">
        <v>502898.96869987401</v>
      </c>
      <c r="W5" s="14">
        <v>652814.97204633802</v>
      </c>
      <c r="X5" s="14">
        <v>744230.34108574805</v>
      </c>
      <c r="Y5" s="14">
        <v>870790.77850068302</v>
      </c>
      <c r="Z5" s="14">
        <v>1055092.6703063999</v>
      </c>
      <c r="AA5" s="14">
        <v>1277716.1923491401</v>
      </c>
      <c r="AB5" s="14">
        <v>1487806.6117621099</v>
      </c>
      <c r="AC5" s="14">
        <v>1583276.1858681</v>
      </c>
      <c r="AD5" s="14">
        <v>1535274.38041579</v>
      </c>
      <c r="AE5" s="14">
        <v>1508785.0552401999</v>
      </c>
      <c r="AF5" s="14">
        <v>1518987.6870621601</v>
      </c>
      <c r="AG5" s="14">
        <v>1491052.4455439299</v>
      </c>
      <c r="AH5" s="14">
        <v>1378325.4001298</v>
      </c>
      <c r="AI5" s="14">
        <v>1341576.01475307</v>
      </c>
      <c r="AJ5" s="14">
        <v>1351797.46625036</v>
      </c>
      <c r="AK5" s="14">
        <v>1387130.12370232</v>
      </c>
      <c r="AL5" s="14">
        <v>1444590.63997008</v>
      </c>
      <c r="AM5" s="14">
        <v>1500982.6539895299</v>
      </c>
      <c r="AN5" s="14">
        <v>1685263.95838898</v>
      </c>
      <c r="AO5" s="14">
        <v>1814650.4819376599</v>
      </c>
      <c r="AP5" s="14">
        <v>1963579.0023240601</v>
      </c>
      <c r="AR5" s="17">
        <v>3.2888721496165063E-2</v>
      </c>
      <c r="AS5" s="17">
        <v>2.8843039908195367E-2</v>
      </c>
      <c r="AT5" s="17">
        <v>2.3508826348185297E-2</v>
      </c>
      <c r="AU5" s="17">
        <v>1.727558717854083E-2</v>
      </c>
      <c r="AV5" s="17">
        <v>9.7904355801925469E-3</v>
      </c>
      <c r="AW5" s="17">
        <v>1.8178580442596015E-3</v>
      </c>
      <c r="AX5" s="17">
        <v>-3.3449229627590116E-3</v>
      </c>
      <c r="AY5" s="17">
        <v>-1.1079319634054174E-3</v>
      </c>
      <c r="AZ5" s="17">
        <v>4.8934098997499564E-3</v>
      </c>
      <c r="BA5" s="17">
        <v>1.5235248091937992E-2</v>
      </c>
      <c r="BB5" s="17">
        <v>1.6126764918219072E-2</v>
      </c>
      <c r="BC5" s="17">
        <v>2.1540722483505803E-2</v>
      </c>
      <c r="BD5" s="17">
        <v>2.7613026747848268E-2</v>
      </c>
      <c r="BE5" s="17">
        <v>2.6978579088403398E-2</v>
      </c>
      <c r="BF5" s="17">
        <v>2.5079662791946955E-2</v>
      </c>
      <c r="BG5" s="17">
        <v>2.5870185947085789E-2</v>
      </c>
      <c r="BH5" s="17">
        <v>2.6893536703573639E-2</v>
      </c>
      <c r="BI5" s="17">
        <v>2.3026535336124088E-2</v>
      </c>
      <c r="BJ5" s="17">
        <v>1.6693942729572031E-2</v>
      </c>
      <c r="BK5" s="17">
        <v>2.2786008601595631E-2</v>
      </c>
      <c r="BL5" s="17">
        <v>0</v>
      </c>
      <c r="BN5" s="14">
        <f t="shared" si="12"/>
        <v>960619.61320474744</v>
      </c>
      <c r="BO5" s="14">
        <f t="shared" si="13"/>
        <v>1120529.929262371</v>
      </c>
      <c r="BP5" s="14">
        <f t="shared" si="14"/>
        <v>1130722.4922574272</v>
      </c>
      <c r="BQ5" s="14">
        <f t="shared" si="15"/>
        <v>1165119.3118587127</v>
      </c>
      <c r="BR5" s="14">
        <f t="shared" si="16"/>
        <v>1233078.2916183244</v>
      </c>
      <c r="BS5" s="14">
        <f t="shared" si="17"/>
        <v>1313003.6506168963</v>
      </c>
      <c r="BT5" s="14">
        <f t="shared" si="18"/>
        <v>1419628.9669878103</v>
      </c>
      <c r="BU5" s="14">
        <f t="shared" si="19"/>
        <v>1560623.0543398873</v>
      </c>
      <c r="BV5" s="14">
        <f t="shared" si="20"/>
        <v>1627893.4671043453</v>
      </c>
      <c r="BW5" s="14">
        <f t="shared" si="21"/>
        <v>1781808.137888426</v>
      </c>
      <c r="BX5" s="14">
        <f t="shared" si="22"/>
        <v>1782514.8737070779</v>
      </c>
      <c r="BY5" s="14">
        <f t="shared" si="23"/>
        <v>1806317.4389739202</v>
      </c>
      <c r="BZ5" s="14">
        <f t="shared" si="24"/>
        <v>1713912.1910855884</v>
      </c>
      <c r="CA5" s="14">
        <f t="shared" si="25"/>
        <v>1616385.6300902402</v>
      </c>
      <c r="CB5" s="14">
        <f t="shared" si="26"/>
        <v>1568401.8006780434</v>
      </c>
      <c r="CC5" s="14">
        <f t="shared" si="27"/>
        <v>1576083.583455272</v>
      </c>
      <c r="CD5" s="14">
        <f t="shared" si="28"/>
        <v>1606373.304475534</v>
      </c>
      <c r="CE5" s="14">
        <f t="shared" si="29"/>
        <v>1607075.8291456304</v>
      </c>
      <c r="CF5" s="14">
        <f t="shared" si="30"/>
        <v>1742001.0207767589</v>
      </c>
      <c r="CG5" s="14">
        <f t="shared" si="31"/>
        <v>1855999.123427981</v>
      </c>
      <c r="CH5" s="14">
        <f t="shared" si="32"/>
        <v>1963579.0023240601</v>
      </c>
      <c r="CJ5" s="13" t="s">
        <v>121</v>
      </c>
      <c r="CK5" s="13" t="s">
        <v>122</v>
      </c>
      <c r="CL5" s="13">
        <v>4</v>
      </c>
      <c r="CM5" s="13">
        <v>99772.808116062995</v>
      </c>
      <c r="CN5" s="13">
        <v>38.605803668435897</v>
      </c>
      <c r="CO5" s="13">
        <v>2584.3991999999998</v>
      </c>
      <c r="CQ5" s="13" t="s">
        <v>121</v>
      </c>
      <c r="CR5" s="13" t="s">
        <v>122</v>
      </c>
      <c r="CS5" s="14">
        <v>232121.50227247999</v>
      </c>
      <c r="CT5" s="13">
        <v>4</v>
      </c>
      <c r="CU5" s="14">
        <v>89.816429946413905</v>
      </c>
      <c r="CV5" s="14">
        <v>2584.3991172992201</v>
      </c>
      <c r="CZ5" s="14"/>
      <c r="DV5" s="13">
        <f t="shared" si="2"/>
        <v>618916.40358400601</v>
      </c>
      <c r="DW5" s="13">
        <f>1400000*(84/(84+79))</f>
        <v>721472.39263803686</v>
      </c>
      <c r="EB5" s="13">
        <f t="shared" si="3"/>
        <v>216620.74125440209</v>
      </c>
      <c r="ED5" s="13">
        <f>912000*($CV5/(SUM($CV$5:$CV$7)))</f>
        <v>690063.18043905019</v>
      </c>
      <c r="EF5" s="13">
        <f t="shared" si="4"/>
        <v>1557009.5374764448</v>
      </c>
      <c r="EG5" s="13">
        <f t="shared" si="33"/>
        <v>1190419.4269253032</v>
      </c>
      <c r="EH5" s="13">
        <f t="shared" si="5"/>
        <v>2.9822463717976241E-2</v>
      </c>
      <c r="EI5" s="13">
        <f t="shared" si="6"/>
        <v>460.61748704253142</v>
      </c>
      <c r="FK5" s="13">
        <v>48500000</v>
      </c>
      <c r="FP5" s="13">
        <f t="shared" si="7"/>
        <v>4262786.7296848418</v>
      </c>
      <c r="FR5" s="13">
        <f>24000000*($CV5/(SUM($CV$5:$CV$7)))</f>
        <v>18159557.379975002</v>
      </c>
      <c r="FU5" s="13">
        <f t="shared" si="34"/>
        <v>0</v>
      </c>
      <c r="FV5" s="13">
        <f t="shared" si="35"/>
        <v>0</v>
      </c>
      <c r="FW5" s="13">
        <f t="shared" si="36"/>
        <v>48500000</v>
      </c>
      <c r="FX5" s="13">
        <f t="shared" si="37"/>
        <v>0</v>
      </c>
      <c r="FY5" s="13">
        <f t="shared" si="38"/>
        <v>0</v>
      </c>
      <c r="FZ5" s="13">
        <f t="shared" si="39"/>
        <v>0</v>
      </c>
      <c r="GA5" s="13">
        <f t="shared" si="39"/>
        <v>4262786.7296848418</v>
      </c>
      <c r="GB5" s="13">
        <f t="shared" si="39"/>
        <v>0</v>
      </c>
      <c r="GC5" s="13">
        <f t="shared" si="39"/>
        <v>18159557.379975002</v>
      </c>
      <c r="GD5" s="13">
        <f t="shared" si="40"/>
        <v>52762786.729684845</v>
      </c>
    </row>
    <row r="6" spans="1:186" s="8" customFormat="1" x14ac:dyDescent="0.3">
      <c r="A6" s="8">
        <v>5</v>
      </c>
      <c r="B6" s="8" t="s">
        <v>123</v>
      </c>
      <c r="C6" s="8" t="s">
        <v>124</v>
      </c>
      <c r="D6" s="13" t="str">
        <f t="shared" si="41"/>
        <v>AH/DL</v>
      </c>
      <c r="E6" s="13">
        <f t="shared" si="42"/>
        <v>694357.95430313516</v>
      </c>
      <c r="F6" s="13">
        <f>IF(T6&gt;T5,EI6-EI5,EI5-EI6)</f>
        <v>213.43658626915922</v>
      </c>
      <c r="G6" s="13">
        <f>IF(T6&gt;T5,CU6-CU5,CU5-CU6)</f>
        <v>12.683511134424108</v>
      </c>
      <c r="H6" s="13">
        <f>IF(T6&gt;T5,CN6-CN5,CN5-CN6)</f>
        <v>-11.131248364362001</v>
      </c>
      <c r="I6" s="13">
        <f>IF(T6&gt;T5,O6-O5,O5-O6)</f>
        <v>1.724699443787836E-3</v>
      </c>
      <c r="J6" s="8" t="s">
        <v>116</v>
      </c>
      <c r="L6" s="8">
        <f t="shared" si="43"/>
        <v>10</v>
      </c>
      <c r="M6" s="8">
        <f t="shared" si="0"/>
        <v>27.395866779191898</v>
      </c>
      <c r="N6" s="8">
        <f>(2*EG6)/$L6/$CO6</f>
        <v>49.436178572716734</v>
      </c>
      <c r="O6" s="8">
        <f t="shared" si="8"/>
        <v>0.55416635286432447</v>
      </c>
      <c r="P6" s="8">
        <f t="shared" si="1"/>
        <v>2</v>
      </c>
      <c r="Q6" s="8">
        <f t="shared" si="9"/>
        <v>10</v>
      </c>
      <c r="S6" s="10">
        <f t="shared" si="10"/>
        <v>844155.58481270948</v>
      </c>
      <c r="T6" s="10">
        <f t="shared" si="11"/>
        <v>836673.98442443879</v>
      </c>
      <c r="U6" s="11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>
        <v>656998.12578112201</v>
      </c>
      <c r="AM6" s="10">
        <v>713583.02925619599</v>
      </c>
      <c r="AN6" s="10">
        <v>816661.39421851898</v>
      </c>
      <c r="AO6" s="10">
        <v>891212.64700346696</v>
      </c>
      <c r="AP6" s="10">
        <v>933096.97290029295</v>
      </c>
      <c r="AQ6" s="11"/>
      <c r="AR6" s="16">
        <v>3.2888721496165063E-2</v>
      </c>
      <c r="AS6" s="16">
        <v>2.8843039908195367E-2</v>
      </c>
      <c r="AT6" s="16">
        <v>2.3508826348185297E-2</v>
      </c>
      <c r="AU6" s="16">
        <v>1.727558717854083E-2</v>
      </c>
      <c r="AV6" s="16">
        <v>9.7904355801925469E-3</v>
      </c>
      <c r="AW6" s="16">
        <v>1.8178580442596015E-3</v>
      </c>
      <c r="AX6" s="16">
        <v>-3.3449229627590116E-3</v>
      </c>
      <c r="AY6" s="16">
        <v>-1.1079319634054174E-3</v>
      </c>
      <c r="AZ6" s="16">
        <v>4.8934098997499564E-3</v>
      </c>
      <c r="BA6" s="16">
        <v>1.5235248091937992E-2</v>
      </c>
      <c r="BB6" s="16">
        <v>1.6126764918219072E-2</v>
      </c>
      <c r="BC6" s="16">
        <v>2.1540722483505803E-2</v>
      </c>
      <c r="BD6" s="16">
        <v>2.7613026747848268E-2</v>
      </c>
      <c r="BE6" s="16">
        <v>2.6978579088403398E-2</v>
      </c>
      <c r="BF6" s="16">
        <v>2.5079662791946955E-2</v>
      </c>
      <c r="BG6" s="16">
        <v>2.5870185947085789E-2</v>
      </c>
      <c r="BH6" s="16">
        <v>2.6893536703573639E-2</v>
      </c>
      <c r="BI6" s="16">
        <v>2.3026535336124088E-2</v>
      </c>
      <c r="BJ6" s="16">
        <v>1.6693942729572031E-2</v>
      </c>
      <c r="BK6" s="16">
        <v>2.2786008601595631E-2</v>
      </c>
      <c r="BL6" s="16">
        <v>0</v>
      </c>
      <c r="BM6" s="11"/>
      <c r="BN6" s="10" t="str">
        <f t="shared" si="12"/>
        <v>NaN</v>
      </c>
      <c r="BO6" s="10" t="str">
        <f t="shared" si="13"/>
        <v>NaN</v>
      </c>
      <c r="BP6" s="10" t="str">
        <f t="shared" si="14"/>
        <v>NaN</v>
      </c>
      <c r="BQ6" s="10" t="str">
        <f t="shared" si="15"/>
        <v>NaN</v>
      </c>
      <c r="BR6" s="10" t="str">
        <f t="shared" si="16"/>
        <v>NaN</v>
      </c>
      <c r="BS6" s="10" t="str">
        <f t="shared" si="17"/>
        <v>NaN</v>
      </c>
      <c r="BT6" s="10" t="str">
        <f t="shared" si="18"/>
        <v>NaN</v>
      </c>
      <c r="BU6" s="10" t="str">
        <f t="shared" si="19"/>
        <v>NaN</v>
      </c>
      <c r="BV6" s="10" t="str">
        <f t="shared" si="20"/>
        <v>NaN</v>
      </c>
      <c r="BW6" s="10" t="str">
        <f t="shared" si="21"/>
        <v>NaN</v>
      </c>
      <c r="BX6" s="10" t="str">
        <f t="shared" si="22"/>
        <v>NaN</v>
      </c>
      <c r="BY6" s="10" t="str">
        <f t="shared" si="23"/>
        <v>NaN</v>
      </c>
      <c r="BZ6" s="10" t="str">
        <f t="shared" si="24"/>
        <v>NaN</v>
      </c>
      <c r="CA6" s="10" t="str">
        <f t="shared" si="25"/>
        <v>NaN</v>
      </c>
      <c r="CB6" s="10" t="str">
        <f t="shared" si="26"/>
        <v>NaN</v>
      </c>
      <c r="CC6" s="10" t="str">
        <f t="shared" si="27"/>
        <v>NaN</v>
      </c>
      <c r="CD6" s="10">
        <f t="shared" si="28"/>
        <v>730576.69151664467</v>
      </c>
      <c r="CE6" s="10">
        <f t="shared" si="29"/>
        <v>764020.84684860799</v>
      </c>
      <c r="CF6" s="10">
        <f t="shared" si="30"/>
        <v>844155.58481270948</v>
      </c>
      <c r="CG6" s="10">
        <f t="shared" si="31"/>
        <v>911519.82604393875</v>
      </c>
      <c r="CH6" s="10">
        <f t="shared" si="32"/>
        <v>933096.97290029295</v>
      </c>
      <c r="CI6" s="12"/>
      <c r="CJ6" s="13" t="s">
        <v>123</v>
      </c>
      <c r="CK6" s="13" t="s">
        <v>124</v>
      </c>
      <c r="CL6" s="13">
        <v>5</v>
      </c>
      <c r="CM6" s="13">
        <v>25862.710002072101</v>
      </c>
      <c r="CN6" s="13">
        <v>49.737052032797898</v>
      </c>
      <c r="CO6" s="13">
        <v>519.98879999999997</v>
      </c>
      <c r="CP6" s="11"/>
      <c r="CQ6" s="13" t="s">
        <v>123</v>
      </c>
      <c r="CR6" s="13" t="s">
        <v>124</v>
      </c>
      <c r="CS6" s="14">
        <v>40108.2526100799</v>
      </c>
      <c r="CT6" s="13">
        <v>5</v>
      </c>
      <c r="CU6" s="14">
        <v>77.132918811989796</v>
      </c>
      <c r="CV6" s="14">
        <v>519.98878336035898</v>
      </c>
      <c r="CW6" s="11"/>
      <c r="CZ6" s="10"/>
      <c r="DV6" s="8">
        <f t="shared" si="2"/>
        <v>124527.81985072742</v>
      </c>
      <c r="EB6" s="8">
        <f t="shared" si="3"/>
        <v>43584.736947754594</v>
      </c>
      <c r="ED6" s="8">
        <f>912000*($CV6/(SUM($CV$5:$CV$7)))</f>
        <v>138842.76280564023</v>
      </c>
      <c r="EF6" s="8">
        <f t="shared" si="4"/>
        <v>168112.55679848202</v>
      </c>
      <c r="EG6" s="8">
        <f t="shared" si="33"/>
        <v>128531.29586306342</v>
      </c>
      <c r="EH6" s="8">
        <f t="shared" si="5"/>
        <v>3.2199742551254585E-3</v>
      </c>
      <c r="EI6" s="8">
        <f t="shared" si="6"/>
        <v>247.1809007733722</v>
      </c>
      <c r="EJ6" s="12"/>
      <c r="FP6" s="8">
        <f t="shared" si="7"/>
        <v>857685.3592218851</v>
      </c>
      <c r="FR6" s="8">
        <f>24000000*($CV6/(SUM($CV$5:$CV$7)))</f>
        <v>3653756.9159379005</v>
      </c>
      <c r="FT6" s="12"/>
      <c r="FU6" s="8">
        <f t="shared" si="34"/>
        <v>0</v>
      </c>
      <c r="FV6" s="8">
        <f t="shared" si="35"/>
        <v>0</v>
      </c>
      <c r="FW6" s="8">
        <f t="shared" si="36"/>
        <v>0</v>
      </c>
      <c r="FX6" s="8">
        <f t="shared" si="37"/>
        <v>0</v>
      </c>
      <c r="FY6" s="8">
        <f t="shared" si="38"/>
        <v>0</v>
      </c>
      <c r="FZ6" s="8">
        <f t="shared" si="39"/>
        <v>0</v>
      </c>
      <c r="GA6" s="8">
        <f t="shared" si="39"/>
        <v>857685.3592218851</v>
      </c>
      <c r="GB6" s="8">
        <f t="shared" si="39"/>
        <v>0</v>
      </c>
      <c r="GC6" s="8">
        <f t="shared" si="39"/>
        <v>3653756.9159379005</v>
      </c>
      <c r="GD6" s="8">
        <f t="shared" si="40"/>
        <v>857685.3592218851</v>
      </c>
    </row>
    <row r="7" spans="1:186" x14ac:dyDescent="0.3">
      <c r="A7" s="13">
        <v>6</v>
      </c>
      <c r="B7" s="13" t="s">
        <v>125</v>
      </c>
      <c r="C7" s="13" t="s">
        <v>126</v>
      </c>
      <c r="D7" s="13" t="str">
        <f t="shared" si="41"/>
        <v>LA/AH</v>
      </c>
      <c r="E7" s="13">
        <f t="shared" si="42"/>
        <v>442251.69417624129</v>
      </c>
      <c r="F7" s="13">
        <f>IF(T7&gt;T6,EI7-EI6,EI6-EI7)</f>
        <v>0</v>
      </c>
      <c r="G7" s="13">
        <f>IF(T7&gt;T6,CU7-CU6,CU6-CU7)</f>
        <v>32.404026766617207</v>
      </c>
      <c r="H7" s="13">
        <f>IF(T7&gt;T6,CN7-CN6,CN6-CN7)</f>
        <v>22.794321635545707</v>
      </c>
      <c r="I7" s="13">
        <f>IF(T7&gt;T6,O7-O6,O6-O7)</f>
        <v>0.19438608340117702</v>
      </c>
      <c r="J7" s="13" t="s">
        <v>116</v>
      </c>
      <c r="L7" s="13">
        <f t="shared" si="43"/>
        <v>10</v>
      </c>
      <c r="M7" s="13">
        <f t="shared" si="0"/>
        <v>37.005571910263399</v>
      </c>
      <c r="N7" s="13">
        <f>(2*EG7)/$L7/$CO7</f>
        <v>49.436178572716607</v>
      </c>
      <c r="O7" s="13">
        <f t="shared" si="8"/>
        <v>0.7485524362655015</v>
      </c>
      <c r="P7" s="13">
        <f t="shared" si="1"/>
        <v>2</v>
      </c>
      <c r="Q7" s="13">
        <f t="shared" si="9"/>
        <v>10</v>
      </c>
      <c r="S7" s="14">
        <f t="shared" si="10"/>
        <v>1278925.6786006801</v>
      </c>
      <c r="T7" s="14">
        <f t="shared" si="11"/>
        <v>1278925.6786006801</v>
      </c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>
        <v>1278925.6786006801</v>
      </c>
      <c r="AR7" s="17">
        <v>3.2888721496165063E-2</v>
      </c>
      <c r="AS7" s="17">
        <v>2.8843039908195367E-2</v>
      </c>
      <c r="AT7" s="17">
        <v>2.3508826348185297E-2</v>
      </c>
      <c r="AU7" s="17">
        <v>1.727558717854083E-2</v>
      </c>
      <c r="AV7" s="17">
        <v>9.7904355801925469E-3</v>
      </c>
      <c r="AW7" s="17">
        <v>1.8178580442596015E-3</v>
      </c>
      <c r="AX7" s="17">
        <v>-3.3449229627590116E-3</v>
      </c>
      <c r="AY7" s="17">
        <v>-1.1079319634054174E-3</v>
      </c>
      <c r="AZ7" s="17">
        <v>4.8934098997499564E-3</v>
      </c>
      <c r="BA7" s="17">
        <v>1.5235248091937992E-2</v>
      </c>
      <c r="BB7" s="17">
        <v>1.6126764918219072E-2</v>
      </c>
      <c r="BC7" s="17">
        <v>2.1540722483505803E-2</v>
      </c>
      <c r="BD7" s="17">
        <v>2.7613026747848268E-2</v>
      </c>
      <c r="BE7" s="17">
        <v>2.6978579088403398E-2</v>
      </c>
      <c r="BF7" s="17">
        <v>2.5079662791946955E-2</v>
      </c>
      <c r="BG7" s="17">
        <v>2.5870185947085789E-2</v>
      </c>
      <c r="BH7" s="17">
        <v>2.6893536703573639E-2</v>
      </c>
      <c r="BI7" s="17">
        <v>2.3026535336124088E-2</v>
      </c>
      <c r="BJ7" s="17">
        <v>1.6693942729572031E-2</v>
      </c>
      <c r="BK7" s="17">
        <v>2.2786008601595631E-2</v>
      </c>
      <c r="BL7" s="17">
        <v>0</v>
      </c>
      <c r="BN7" s="14" t="str">
        <f t="shared" si="12"/>
        <v>NaN</v>
      </c>
      <c r="BO7" s="14" t="str">
        <f t="shared" si="13"/>
        <v>NaN</v>
      </c>
      <c r="BP7" s="14" t="str">
        <f t="shared" si="14"/>
        <v>NaN</v>
      </c>
      <c r="BQ7" s="14" t="str">
        <f t="shared" si="15"/>
        <v>NaN</v>
      </c>
      <c r="BR7" s="14" t="str">
        <f t="shared" si="16"/>
        <v>NaN</v>
      </c>
      <c r="BS7" s="14" t="str">
        <f t="shared" si="17"/>
        <v>NaN</v>
      </c>
      <c r="BT7" s="14" t="str">
        <f t="shared" si="18"/>
        <v>NaN</v>
      </c>
      <c r="BU7" s="14" t="str">
        <f t="shared" si="19"/>
        <v>NaN</v>
      </c>
      <c r="BV7" s="14" t="str">
        <f t="shared" si="20"/>
        <v>NaN</v>
      </c>
      <c r="BW7" s="14" t="str">
        <f t="shared" si="21"/>
        <v>NaN</v>
      </c>
      <c r="BX7" s="14" t="str">
        <f t="shared" si="22"/>
        <v>NaN</v>
      </c>
      <c r="BY7" s="14" t="str">
        <f t="shared" si="23"/>
        <v>NaN</v>
      </c>
      <c r="BZ7" s="14" t="str">
        <f t="shared" si="24"/>
        <v>NaN</v>
      </c>
      <c r="CA7" s="14" t="str">
        <f t="shared" si="25"/>
        <v>NaN</v>
      </c>
      <c r="CB7" s="14" t="str">
        <f t="shared" si="26"/>
        <v>NaN</v>
      </c>
      <c r="CC7" s="14" t="str">
        <f t="shared" si="27"/>
        <v>NaN</v>
      </c>
      <c r="CD7" s="14" t="str">
        <f t="shared" si="28"/>
        <v>NaN</v>
      </c>
      <c r="CE7" s="14" t="str">
        <f t="shared" si="29"/>
        <v>NaN</v>
      </c>
      <c r="CF7" s="14" t="str">
        <f t="shared" si="30"/>
        <v>NaN</v>
      </c>
      <c r="CG7" s="14" t="str">
        <f t="shared" si="31"/>
        <v>NaN</v>
      </c>
      <c r="CH7" s="14">
        <f t="shared" si="32"/>
        <v>1278925.6786006801</v>
      </c>
      <c r="CJ7" s="13" t="s">
        <v>127</v>
      </c>
      <c r="CK7" s="13" t="s">
        <v>126</v>
      </c>
      <c r="CL7" s="13">
        <v>6</v>
      </c>
      <c r="CM7" s="13">
        <v>22571.821510687401</v>
      </c>
      <c r="CN7" s="13">
        <v>72.531373668343605</v>
      </c>
      <c r="CO7" s="13">
        <v>311.20080000000002</v>
      </c>
      <c r="CQ7" s="13" t="s">
        <v>127</v>
      </c>
      <c r="CR7" s="13" t="s">
        <v>126</v>
      </c>
      <c r="CS7" s="14">
        <v>34087.984002803598</v>
      </c>
      <c r="CT7" s="13">
        <v>6</v>
      </c>
      <c r="CU7" s="14">
        <v>109.536945578607</v>
      </c>
      <c r="CV7" s="14">
        <v>311.20079004157401</v>
      </c>
      <c r="CZ7" s="14"/>
      <c r="DV7" s="13">
        <f t="shared" si="2"/>
        <v>74526.907425317942</v>
      </c>
      <c r="EB7" s="13">
        <f t="shared" si="3"/>
        <v>26084.417598861277</v>
      </c>
      <c r="ED7" s="13">
        <f>912000*($CV7/(SUM($CV$5:$CV$7)))</f>
        <v>83094.056755309692</v>
      </c>
      <c r="EF7" s="13">
        <f t="shared" si="4"/>
        <v>100611.32502417921</v>
      </c>
      <c r="EG7" s="13">
        <f t="shared" si="33"/>
        <v>76922.891603861339</v>
      </c>
      <c r="EH7" s="13">
        <f t="shared" si="5"/>
        <v>1.9270772066137662E-3</v>
      </c>
      <c r="EI7" s="13">
        <f t="shared" si="6"/>
        <v>247.1809007733722</v>
      </c>
      <c r="FP7" s="13">
        <f t="shared" si="7"/>
        <v>513304.0748918773</v>
      </c>
      <c r="FR7" s="13">
        <f>24000000*($CV7/(SUM($CV$5:$CV$7)))</f>
        <v>2186685.7040870972</v>
      </c>
      <c r="FU7" s="13">
        <f t="shared" si="34"/>
        <v>0</v>
      </c>
      <c r="FV7" s="13">
        <f t="shared" si="35"/>
        <v>0</v>
      </c>
      <c r="FW7" s="13">
        <f t="shared" si="36"/>
        <v>0</v>
      </c>
      <c r="FX7" s="13">
        <f t="shared" si="37"/>
        <v>0</v>
      </c>
      <c r="FY7" s="13">
        <f t="shared" si="38"/>
        <v>0</v>
      </c>
      <c r="FZ7" s="13">
        <f t="shared" si="39"/>
        <v>0</v>
      </c>
      <c r="GA7" s="13">
        <f t="shared" si="39"/>
        <v>513304.0748918773</v>
      </c>
      <c r="GB7" s="13">
        <f t="shared" si="39"/>
        <v>0</v>
      </c>
      <c r="GC7" s="13">
        <f t="shared" si="39"/>
        <v>2186685.7040870972</v>
      </c>
      <c r="GD7" s="13">
        <f t="shared" si="40"/>
        <v>513304.0748918773</v>
      </c>
    </row>
    <row r="8" spans="1:186" s="8" customFormat="1" x14ac:dyDescent="0.3">
      <c r="A8" s="8">
        <v>7</v>
      </c>
      <c r="B8" s="8" t="s">
        <v>128</v>
      </c>
      <c r="C8" s="8" t="s">
        <v>129</v>
      </c>
      <c r="D8" s="13" t="str">
        <f t="shared" si="41"/>
        <v>AP/LA</v>
      </c>
      <c r="E8" s="13">
        <f t="shared" si="42"/>
        <v>1001727.7405236322</v>
      </c>
      <c r="F8" s="13">
        <f>IF(T8&gt;T7,EI8-EI7,EI7-EI8)</f>
        <v>-187.69465307975352</v>
      </c>
      <c r="G8" s="13">
        <f>IF(T8&gt;T7,CU8-CU7,CU7-CU8)</f>
        <v>25.419953021843398</v>
      </c>
      <c r="H8" s="13">
        <f>IF(T8&gt;T7,CN8-CN7,CN7-CN8)</f>
        <v>-15.291743517551694</v>
      </c>
      <c r="I8" s="13">
        <f>IF(T8&gt;T7,O8-O7,O7-O8)</f>
        <v>0.79116376167676383</v>
      </c>
      <c r="J8" s="8" t="s">
        <v>116</v>
      </c>
      <c r="L8" s="8">
        <f t="shared" si="43"/>
        <v>10</v>
      </c>
      <c r="M8" s="8">
        <f t="shared" si="0"/>
        <v>-3.7061246291316934</v>
      </c>
      <c r="N8" s="8">
        <f>(2*EG8)/$L8/$CO8</f>
        <v>86.975107987421268</v>
      </c>
      <c r="O8" s="8">
        <f t="shared" si="8"/>
        <v>-4.2611325411262377E-2</v>
      </c>
      <c r="P8" s="8">
        <f t="shared" si="1"/>
        <v>3</v>
      </c>
      <c r="Q8" s="8">
        <f t="shared" si="9"/>
        <v>6.666666666666667</v>
      </c>
      <c r="S8" s="10">
        <f t="shared" si="10"/>
        <v>271430.70887905092</v>
      </c>
      <c r="T8" s="10">
        <f t="shared" si="11"/>
        <v>277197.93807704799</v>
      </c>
      <c r="U8" s="11"/>
      <c r="V8" s="10">
        <v>85329.660194380995</v>
      </c>
      <c r="W8" s="10">
        <v>97183.487894405203</v>
      </c>
      <c r="X8" s="10">
        <v>119936.15915789999</v>
      </c>
      <c r="Y8" s="10">
        <v>156033.58066483401</v>
      </c>
      <c r="Z8" s="10">
        <v>194333.17706447799</v>
      </c>
      <c r="AA8" s="10">
        <v>239622.266326307</v>
      </c>
      <c r="AB8" s="10">
        <v>284466.16171998403</v>
      </c>
      <c r="AC8" s="10">
        <v>260652.039152799</v>
      </c>
      <c r="AD8" s="10">
        <v>228345.59340391101</v>
      </c>
      <c r="AE8" s="10">
        <v>220296.45067654201</v>
      </c>
      <c r="AF8" s="10">
        <v>228265.502219271</v>
      </c>
      <c r="AG8" s="10">
        <v>285196.116266503</v>
      </c>
      <c r="AH8" s="10">
        <v>231827.63475221599</v>
      </c>
      <c r="AI8" s="10">
        <v>230943.42776420899</v>
      </c>
      <c r="AJ8" s="10">
        <v>255257.591546654</v>
      </c>
      <c r="AK8" s="10">
        <v>251898.99684738199</v>
      </c>
      <c r="AL8" s="10">
        <v>277177.19626410701</v>
      </c>
      <c r="AM8" s="10">
        <v>311115.695774358</v>
      </c>
      <c r="AN8" s="10">
        <v>354610.55852053402</v>
      </c>
      <c r="AO8" s="10">
        <v>396336.85739125399</v>
      </c>
      <c r="AP8" s="10">
        <v>420867.76825362601</v>
      </c>
      <c r="AQ8" s="11"/>
      <c r="AR8" s="16">
        <v>3.2888721496165063E-2</v>
      </c>
      <c r="AS8" s="16">
        <v>2.8843039908195367E-2</v>
      </c>
      <c r="AT8" s="16">
        <v>2.3508826348185297E-2</v>
      </c>
      <c r="AU8" s="16">
        <v>1.727558717854083E-2</v>
      </c>
      <c r="AV8" s="16">
        <v>9.7904355801925469E-3</v>
      </c>
      <c r="AW8" s="16">
        <v>1.8178580442596015E-3</v>
      </c>
      <c r="AX8" s="16">
        <v>-3.3449229627590116E-3</v>
      </c>
      <c r="AY8" s="16">
        <v>-1.1079319634054174E-3</v>
      </c>
      <c r="AZ8" s="16">
        <v>4.8934098997499564E-3</v>
      </c>
      <c r="BA8" s="16">
        <v>1.5235248091937992E-2</v>
      </c>
      <c r="BB8" s="16">
        <v>1.6126764918219072E-2</v>
      </c>
      <c r="BC8" s="16">
        <v>2.1540722483505803E-2</v>
      </c>
      <c r="BD8" s="16">
        <v>2.7613026747848268E-2</v>
      </c>
      <c r="BE8" s="16">
        <v>2.6978579088403398E-2</v>
      </c>
      <c r="BF8" s="16">
        <v>2.5079662791946955E-2</v>
      </c>
      <c r="BG8" s="16">
        <v>2.5870185947085789E-2</v>
      </c>
      <c r="BH8" s="16">
        <v>2.6893536703573639E-2</v>
      </c>
      <c r="BI8" s="16">
        <v>2.3026535336124088E-2</v>
      </c>
      <c r="BJ8" s="16">
        <v>1.6693942729572031E-2</v>
      </c>
      <c r="BK8" s="16">
        <v>2.2786008601595631E-2</v>
      </c>
      <c r="BL8" s="16">
        <v>0</v>
      </c>
      <c r="BM8" s="11"/>
      <c r="BN8" s="10">
        <f t="shared" si="12"/>
        <v>162993.66328535351</v>
      </c>
      <c r="BO8" s="10">
        <f t="shared" si="13"/>
        <v>166811.44195335434</v>
      </c>
      <c r="BP8" s="10">
        <f t="shared" si="14"/>
        <v>182221.15561286829</v>
      </c>
      <c r="BQ8" s="10">
        <f t="shared" si="15"/>
        <v>208773.15495242091</v>
      </c>
      <c r="BR8" s="10">
        <f t="shared" si="16"/>
        <v>227115.61621391951</v>
      </c>
      <c r="BS8" s="10">
        <f t="shared" si="17"/>
        <v>246240.05889530358</v>
      </c>
      <c r="BT8" s="10">
        <f t="shared" si="18"/>
        <v>271430.70887905092</v>
      </c>
      <c r="BU8" s="10">
        <f t="shared" si="19"/>
        <v>256922.69301677551</v>
      </c>
      <c r="BV8" s="10">
        <f t="shared" si="20"/>
        <v>242121.08564178625</v>
      </c>
      <c r="BW8" s="10">
        <f t="shared" si="21"/>
        <v>260160.32383148727</v>
      </c>
      <c r="BX8" s="10">
        <f t="shared" si="22"/>
        <v>267866.98557577963</v>
      </c>
      <c r="BY8" s="10">
        <f t="shared" si="23"/>
        <v>345497.38332771498</v>
      </c>
      <c r="BZ8" s="10">
        <f t="shared" si="24"/>
        <v>288271.70230987715</v>
      </c>
      <c r="CA8" s="10">
        <f t="shared" si="25"/>
        <v>278250.08340698393</v>
      </c>
      <c r="CB8" s="10">
        <f t="shared" si="26"/>
        <v>296158.61563123122</v>
      </c>
      <c r="CC8" s="10">
        <f t="shared" si="27"/>
        <v>286212.42292710079</v>
      </c>
      <c r="CD8" s="10">
        <f t="shared" si="28"/>
        <v>308218.83817360131</v>
      </c>
      <c r="CE8" s="10">
        <f t="shared" si="29"/>
        <v>333106.12445644138</v>
      </c>
      <c r="CF8" s="10">
        <f t="shared" si="30"/>
        <v>366549.08084043092</v>
      </c>
      <c r="CG8" s="10">
        <f t="shared" si="31"/>
        <v>405367.79243290046</v>
      </c>
      <c r="CH8" s="10">
        <f t="shared" si="32"/>
        <v>420867.76825362601</v>
      </c>
      <c r="CI8" s="12"/>
      <c r="CJ8" s="13" t="s">
        <v>128</v>
      </c>
      <c r="CK8" s="13" t="s">
        <v>129</v>
      </c>
      <c r="CL8" s="13">
        <v>7</v>
      </c>
      <c r="CM8" s="13">
        <v>138259.23080081699</v>
      </c>
      <c r="CN8" s="13">
        <v>87.823117185895299</v>
      </c>
      <c r="CO8" s="13">
        <v>1574.2919999999999</v>
      </c>
      <c r="CP8" s="11"/>
      <c r="CQ8" s="13" t="s">
        <v>128</v>
      </c>
      <c r="CR8" s="13" t="s">
        <v>129</v>
      </c>
      <c r="CS8" s="14">
        <v>132424.704208582</v>
      </c>
      <c r="CT8" s="13">
        <v>7</v>
      </c>
      <c r="CU8" s="14">
        <v>84.116992556763606</v>
      </c>
      <c r="CV8" s="14">
        <v>1574.29194962265</v>
      </c>
      <c r="CW8" s="11"/>
      <c r="CZ8" s="10"/>
      <c r="DS8" s="8">
        <f>1200000*($CV8/(SUM($CV$8:$CV$11)))</f>
        <v>386481.26208143582</v>
      </c>
      <c r="DV8" s="8">
        <f t="shared" si="2"/>
        <v>377014.17909085809</v>
      </c>
      <c r="EB8" s="8">
        <f t="shared" si="3"/>
        <v>131954.96268180033</v>
      </c>
      <c r="EF8" s="8">
        <f t="shared" si="4"/>
        <v>895450.40385409421</v>
      </c>
      <c r="EG8" s="8">
        <f t="shared" si="33"/>
        <v>684621.08351866703</v>
      </c>
      <c r="EH8" s="8">
        <f t="shared" si="5"/>
        <v>1.7151171227549333E-2</v>
      </c>
      <c r="EI8" s="8">
        <f t="shared" si="6"/>
        <v>434.87555385312572</v>
      </c>
      <c r="EJ8" s="12"/>
      <c r="FG8" s="8">
        <f>18300000*($CV8/(SUM($CV$8:$CV$11)))</f>
        <v>5893839.2467418965</v>
      </c>
      <c r="FP8" s="8">
        <f t="shared" si="7"/>
        <v>2596685.1584882853</v>
      </c>
      <c r="FT8" s="12"/>
      <c r="FU8" s="8">
        <f t="shared" si="34"/>
        <v>5893839.2467418965</v>
      </c>
      <c r="FV8" s="8">
        <f t="shared" si="35"/>
        <v>0</v>
      </c>
      <c r="FW8" s="8">
        <f t="shared" si="36"/>
        <v>0</v>
      </c>
      <c r="FX8" s="8">
        <f t="shared" si="37"/>
        <v>0</v>
      </c>
      <c r="FY8" s="8">
        <f t="shared" si="38"/>
        <v>0</v>
      </c>
      <c r="FZ8" s="8">
        <f t="shared" si="39"/>
        <v>0</v>
      </c>
      <c r="GA8" s="8">
        <f t="shared" si="39"/>
        <v>2596685.1584882853</v>
      </c>
      <c r="GB8" s="8">
        <f t="shared" si="39"/>
        <v>0</v>
      </c>
      <c r="GC8" s="8">
        <f t="shared" si="39"/>
        <v>0</v>
      </c>
      <c r="GD8" s="8">
        <f t="shared" si="40"/>
        <v>8490524.4052301813</v>
      </c>
    </row>
    <row r="9" spans="1:186" x14ac:dyDescent="0.3">
      <c r="A9" s="13">
        <v>8</v>
      </c>
      <c r="B9" s="13" t="s">
        <v>130</v>
      </c>
      <c r="C9" s="13" t="s">
        <v>131</v>
      </c>
      <c r="D9" s="13" t="str">
        <f t="shared" si="41"/>
        <v>OG/AP</v>
      </c>
      <c r="E9" s="13">
        <f t="shared" si="42"/>
        <v>20893.819294626592</v>
      </c>
      <c r="F9" s="13">
        <f>IF(T9&gt;T8,EI9-EI8,EI8-EI9)</f>
        <v>0</v>
      </c>
      <c r="G9" s="13">
        <f>IF(T9&gt;T8,CU9-CU8,CU8-CU9)</f>
        <v>7.0558944608770986</v>
      </c>
      <c r="H9" s="13">
        <f>IF(T9&gt;T8,CN9-CN8,CN8-CN9)</f>
        <v>21.479488520194707</v>
      </c>
      <c r="I9" s="13">
        <f>IF(T9&gt;T8,O9-O8,O8-O9)</f>
        <v>-0.16583588561227802</v>
      </c>
      <c r="J9" s="13" t="s">
        <v>116</v>
      </c>
      <c r="L9" s="13">
        <f t="shared" si="43"/>
        <v>10</v>
      </c>
      <c r="M9" s="13">
        <f t="shared" si="0"/>
        <v>-18.129718688449302</v>
      </c>
      <c r="N9" s="13">
        <f>(2*EG9)/$L9/$CO9</f>
        <v>86.97510798742168</v>
      </c>
      <c r="O9" s="13">
        <f t="shared" si="8"/>
        <v>-0.20844721102354041</v>
      </c>
      <c r="P9" s="13">
        <f t="shared" si="1"/>
        <v>3</v>
      </c>
      <c r="Q9" s="13">
        <f t="shared" si="9"/>
        <v>6.666666666666667</v>
      </c>
      <c r="S9" s="14">
        <f t="shared" si="10"/>
        <v>296671.94307321013</v>
      </c>
      <c r="T9" s="14">
        <f t="shared" si="11"/>
        <v>298091.75737167458</v>
      </c>
      <c r="V9" s="14">
        <v>133157.34553383299</v>
      </c>
      <c r="W9" s="14">
        <v>151700.381137244</v>
      </c>
      <c r="X9" s="14">
        <v>172074.203602872</v>
      </c>
      <c r="Y9" s="14">
        <v>204755.30744393801</v>
      </c>
      <c r="Z9" s="14">
        <v>243723.55643284001</v>
      </c>
      <c r="AA9" s="14">
        <v>285874.91712749097</v>
      </c>
      <c r="AB9" s="14">
        <v>317207.35930562299</v>
      </c>
      <c r="AC9" s="14">
        <v>309242.55899713299</v>
      </c>
      <c r="AD9" s="14">
        <v>279652.96499900398</v>
      </c>
      <c r="AE9" s="14">
        <v>283474.652456143</v>
      </c>
      <c r="AF9" s="14">
        <v>267542.30748451903</v>
      </c>
      <c r="AG9" s="14">
        <v>241640.654845918</v>
      </c>
      <c r="AH9" s="14">
        <v>233851.205543146</v>
      </c>
      <c r="AI9" s="14">
        <v>238962.19373967999</v>
      </c>
      <c r="AJ9" s="14">
        <v>255700.02583557399</v>
      </c>
      <c r="AK9" s="14">
        <v>264693.76156935998</v>
      </c>
      <c r="AL9" s="14">
        <v>278993.48113158601</v>
      </c>
      <c r="AM9" s="14">
        <v>288481.82481847203</v>
      </c>
      <c r="AN9" s="14">
        <v>307223.09865137498</v>
      </c>
      <c r="AO9" s="14">
        <v>325864.742022219</v>
      </c>
      <c r="AP9" s="14">
        <v>339617.64186450199</v>
      </c>
      <c r="AR9" s="17">
        <v>3.2888721496165063E-2</v>
      </c>
      <c r="AS9" s="17">
        <v>2.8843039908195367E-2</v>
      </c>
      <c r="AT9" s="17">
        <v>2.3508826348185297E-2</v>
      </c>
      <c r="AU9" s="17">
        <v>1.727558717854083E-2</v>
      </c>
      <c r="AV9" s="17">
        <v>9.7904355801925469E-3</v>
      </c>
      <c r="AW9" s="17">
        <v>1.8178580442596015E-3</v>
      </c>
      <c r="AX9" s="17">
        <v>-3.3449229627590116E-3</v>
      </c>
      <c r="AY9" s="17">
        <v>-1.1079319634054174E-3</v>
      </c>
      <c r="AZ9" s="17">
        <v>4.8934098997499564E-3</v>
      </c>
      <c r="BA9" s="17">
        <v>1.5235248091937992E-2</v>
      </c>
      <c r="BB9" s="17">
        <v>1.6126764918219072E-2</v>
      </c>
      <c r="BC9" s="17">
        <v>2.1540722483505803E-2</v>
      </c>
      <c r="BD9" s="17">
        <v>2.7613026747848268E-2</v>
      </c>
      <c r="BE9" s="17">
        <v>2.6978579088403398E-2</v>
      </c>
      <c r="BF9" s="17">
        <v>2.5079662791946955E-2</v>
      </c>
      <c r="BG9" s="17">
        <v>2.5870185947085789E-2</v>
      </c>
      <c r="BH9" s="17">
        <v>2.6893536703573639E-2</v>
      </c>
      <c r="BI9" s="17">
        <v>2.3026535336124088E-2</v>
      </c>
      <c r="BJ9" s="17">
        <v>1.6693942729572031E-2</v>
      </c>
      <c r="BK9" s="17">
        <v>2.2786008601595631E-2</v>
      </c>
      <c r="BL9" s="17">
        <v>0</v>
      </c>
      <c r="BN9" s="14">
        <f t="shared" si="12"/>
        <v>254352.39625321107</v>
      </c>
      <c r="BO9" s="14">
        <f t="shared" si="13"/>
        <v>260387.43690566719</v>
      </c>
      <c r="BP9" s="14">
        <f t="shared" si="14"/>
        <v>261435.42074245238</v>
      </c>
      <c r="BQ9" s="14">
        <f t="shared" si="15"/>
        <v>273962.89533435053</v>
      </c>
      <c r="BR9" s="14">
        <f t="shared" si="16"/>
        <v>284837.75411507156</v>
      </c>
      <c r="BS9" s="14">
        <f t="shared" si="17"/>
        <v>293770.09703390492</v>
      </c>
      <c r="BT9" s="14">
        <f t="shared" si="18"/>
        <v>302671.56514288654</v>
      </c>
      <c r="BU9" s="14">
        <f t="shared" si="19"/>
        <v>304817.99149235355</v>
      </c>
      <c r="BV9" s="14">
        <f t="shared" si="20"/>
        <v>296523.69673162076</v>
      </c>
      <c r="BW9" s="14">
        <f t="shared" si="21"/>
        <v>334770.97408751637</v>
      </c>
      <c r="BX9" s="14">
        <f t="shared" si="22"/>
        <v>313957.87240344624</v>
      </c>
      <c r="BY9" s="14">
        <f t="shared" si="23"/>
        <v>292732.6467406943</v>
      </c>
      <c r="BZ9" s="14">
        <f t="shared" si="24"/>
        <v>290787.96055177931</v>
      </c>
      <c r="CA9" s="14">
        <f t="shared" si="25"/>
        <v>287911.42048462509</v>
      </c>
      <c r="CB9" s="14">
        <f t="shared" si="26"/>
        <v>296671.94307321013</v>
      </c>
      <c r="CC9" s="14">
        <f t="shared" si="27"/>
        <v>300750.07753347553</v>
      </c>
      <c r="CD9" s="14">
        <f t="shared" si="28"/>
        <v>310238.53250340919</v>
      </c>
      <c r="CE9" s="14">
        <f t="shared" si="29"/>
        <v>308872.43538846675</v>
      </c>
      <c r="CF9" s="14">
        <f t="shared" si="30"/>
        <v>317566.24758563028</v>
      </c>
      <c r="CG9" s="14">
        <f t="shared" si="31"/>
        <v>333289.89883689402</v>
      </c>
      <c r="CH9" s="14">
        <f t="shared" si="32"/>
        <v>339617.64186450199</v>
      </c>
      <c r="CJ9" s="13" t="s">
        <v>132</v>
      </c>
      <c r="CK9" s="13" t="s">
        <v>131</v>
      </c>
      <c r="CL9" s="13">
        <v>8</v>
      </c>
      <c r="CM9" s="13">
        <v>108041.953172918</v>
      </c>
      <c r="CN9" s="13">
        <v>109.30260570609001</v>
      </c>
      <c r="CO9" s="13">
        <v>988.46640000000002</v>
      </c>
      <c r="CQ9" s="13" t="s">
        <v>132</v>
      </c>
      <c r="CR9" s="13" t="s">
        <v>131</v>
      </c>
      <c r="CS9" s="14">
        <v>90121.332524051395</v>
      </c>
      <c r="CT9" s="13">
        <v>8</v>
      </c>
      <c r="CU9" s="14">
        <v>91.172887017640704</v>
      </c>
      <c r="CV9" s="14">
        <v>988.46636836907601</v>
      </c>
      <c r="CZ9" s="14"/>
      <c r="DS9" s="13">
        <f>1200000*($CV9/(SUM($CV$8:$CV$11)))</f>
        <v>242663.83987030052</v>
      </c>
      <c r="DV9" s="13">
        <f t="shared" si="2"/>
        <v>236719.64816876253</v>
      </c>
      <c r="EB9" s="13">
        <f t="shared" si="3"/>
        <v>82851.876859066891</v>
      </c>
      <c r="EF9" s="13">
        <f t="shared" si="4"/>
        <v>562235.36489812995</v>
      </c>
      <c r="EG9" s="13">
        <f t="shared" si="33"/>
        <v>429859.85940968973</v>
      </c>
      <c r="EH9" s="13">
        <f t="shared" si="5"/>
        <v>1.0768876726223184E-2</v>
      </c>
      <c r="EI9" s="13">
        <f t="shared" si="6"/>
        <v>434.87555385312572</v>
      </c>
      <c r="FG9" s="13">
        <f>18300000*($CV9/(SUM($CV$8:$CV$11)))</f>
        <v>3700623.5580220828</v>
      </c>
      <c r="FP9" s="13">
        <f t="shared" si="7"/>
        <v>1630406.5767623519</v>
      </c>
      <c r="FU9" s="13">
        <f t="shared" si="34"/>
        <v>3700623.5580220828</v>
      </c>
      <c r="FV9" s="13">
        <f t="shared" si="35"/>
        <v>0</v>
      </c>
      <c r="FW9" s="13">
        <f t="shared" si="36"/>
        <v>0</v>
      </c>
      <c r="FX9" s="13">
        <f t="shared" si="37"/>
        <v>0</v>
      </c>
      <c r="FY9" s="13">
        <f t="shared" si="38"/>
        <v>0</v>
      </c>
      <c r="FZ9" s="13">
        <f t="shared" si="39"/>
        <v>0</v>
      </c>
      <c r="GA9" s="13">
        <f t="shared" si="39"/>
        <v>1630406.5767623519</v>
      </c>
      <c r="GB9" s="13">
        <f t="shared" si="39"/>
        <v>0</v>
      </c>
      <c r="GC9" s="13">
        <f t="shared" si="39"/>
        <v>0</v>
      </c>
      <c r="GD9" s="13">
        <f t="shared" si="40"/>
        <v>5331030.1347844349</v>
      </c>
    </row>
    <row r="10" spans="1:186" s="8" customFormat="1" x14ac:dyDescent="0.3">
      <c r="A10" s="8">
        <v>9</v>
      </c>
      <c r="B10" s="8" t="s">
        <v>133</v>
      </c>
      <c r="C10" s="8" t="s">
        <v>134</v>
      </c>
      <c r="D10" s="13" t="str">
        <f t="shared" si="41"/>
        <v>BB/OG</v>
      </c>
      <c r="E10" s="13">
        <f t="shared" si="42"/>
        <v>213840.37844847393</v>
      </c>
      <c r="F10" s="13">
        <f>IF(T10&gt;T9,EI10-EI9,EI9-EI10)</f>
        <v>5.6843418860808015E-14</v>
      </c>
      <c r="G10" s="13">
        <f>IF(T10&gt;T9,CU10-CU9,CU9-CU10)</f>
        <v>13.910904816929289</v>
      </c>
      <c r="H10" s="13">
        <f>IF(T10&gt;T9,CN10-CN9,CN9-CN10)</f>
        <v>22.260036751068995</v>
      </c>
      <c r="I10" s="13">
        <f>IF(T10&gt;T9,O10-O9,O9-O10)</f>
        <v>-9.5994499200245165E-2</v>
      </c>
      <c r="J10" s="8" t="s">
        <v>116</v>
      </c>
      <c r="L10" s="8">
        <f t="shared" si="43"/>
        <v>10</v>
      </c>
      <c r="M10" s="8">
        <f t="shared" si="0"/>
        <v>-26.478850622589007</v>
      </c>
      <c r="N10" s="8">
        <f>(2*EG10)/$L10/$CO10</f>
        <v>86.97510798742141</v>
      </c>
      <c r="O10" s="8">
        <f t="shared" si="8"/>
        <v>-0.30444171022378558</v>
      </c>
      <c r="P10" s="8">
        <f t="shared" si="1"/>
        <v>3</v>
      </c>
      <c r="Q10" s="8">
        <f t="shared" si="9"/>
        <v>6.666666666666667</v>
      </c>
      <c r="S10" s="10">
        <f t="shared" si="10"/>
        <v>532113.18129158614</v>
      </c>
      <c r="T10" s="10">
        <f t="shared" si="11"/>
        <v>511932.13582014851</v>
      </c>
      <c r="U10" s="11"/>
      <c r="V10" s="10">
        <v>176473.89142178599</v>
      </c>
      <c r="W10" s="10">
        <v>208611.02408232901</v>
      </c>
      <c r="X10" s="10">
        <v>261675.02635673201</v>
      </c>
      <c r="Y10" s="10">
        <v>328616.11576076702</v>
      </c>
      <c r="Z10" s="10">
        <v>405607.11310660897</v>
      </c>
      <c r="AA10" s="10">
        <v>477568.86615180701</v>
      </c>
      <c r="AB10" s="10">
        <v>549561.50355988403</v>
      </c>
      <c r="AC10" s="10">
        <v>527644.30492480798</v>
      </c>
      <c r="AD10" s="10">
        <v>497442.77471595199</v>
      </c>
      <c r="AE10" s="10">
        <v>466740.30120142503</v>
      </c>
      <c r="AF10" s="10">
        <v>454402.08632822102</v>
      </c>
      <c r="AG10" s="10">
        <v>456007.30214465503</v>
      </c>
      <c r="AH10" s="10">
        <v>445308.759700756</v>
      </c>
      <c r="AI10" s="10">
        <v>441410.34621505899</v>
      </c>
      <c r="AJ10" s="10">
        <v>458625.62126453599</v>
      </c>
      <c r="AK10" s="10">
        <v>471576.09041364701</v>
      </c>
      <c r="AL10" s="10">
        <v>495726.60230937297</v>
      </c>
      <c r="AM10" s="10">
        <v>515819.33852106699</v>
      </c>
      <c r="AN10" s="10">
        <v>553049.66148139501</v>
      </c>
      <c r="AO10" s="10">
        <v>581337.84797701996</v>
      </c>
      <c r="AP10" s="10">
        <v>621317.01754081994</v>
      </c>
      <c r="AQ10" s="11"/>
      <c r="AR10" s="16">
        <v>3.2888721496165063E-2</v>
      </c>
      <c r="AS10" s="16">
        <v>2.8843039908195367E-2</v>
      </c>
      <c r="AT10" s="16">
        <v>2.3508826348185297E-2</v>
      </c>
      <c r="AU10" s="16">
        <v>1.727558717854083E-2</v>
      </c>
      <c r="AV10" s="16">
        <v>9.7904355801925469E-3</v>
      </c>
      <c r="AW10" s="16">
        <v>1.8178580442596015E-3</v>
      </c>
      <c r="AX10" s="16">
        <v>-3.3449229627590116E-3</v>
      </c>
      <c r="AY10" s="16">
        <v>-1.1079319634054174E-3</v>
      </c>
      <c r="AZ10" s="16">
        <v>4.8934098997499564E-3</v>
      </c>
      <c r="BA10" s="16">
        <v>1.5235248091937992E-2</v>
      </c>
      <c r="BB10" s="16">
        <v>1.6126764918219072E-2</v>
      </c>
      <c r="BC10" s="16">
        <v>2.1540722483505803E-2</v>
      </c>
      <c r="BD10" s="16">
        <v>2.7613026747848268E-2</v>
      </c>
      <c r="BE10" s="16">
        <v>2.6978579088403398E-2</v>
      </c>
      <c r="BF10" s="16">
        <v>2.5079662791946955E-2</v>
      </c>
      <c r="BG10" s="16">
        <v>2.5870185947085789E-2</v>
      </c>
      <c r="BH10" s="16">
        <v>2.6893536703573639E-2</v>
      </c>
      <c r="BI10" s="16">
        <v>2.3026535336124088E-2</v>
      </c>
      <c r="BJ10" s="16">
        <v>1.6693942729572031E-2</v>
      </c>
      <c r="BK10" s="16">
        <v>2.2786008601595631E-2</v>
      </c>
      <c r="BL10" s="16">
        <v>0</v>
      </c>
      <c r="BM10" s="11"/>
      <c r="BN10" s="10">
        <f t="shared" si="12"/>
        <v>337094.11207701906</v>
      </c>
      <c r="BO10" s="10">
        <f t="shared" si="13"/>
        <v>358072.20432703331</v>
      </c>
      <c r="BP10" s="10">
        <f t="shared" si="14"/>
        <v>397567.55621109687</v>
      </c>
      <c r="BQ10" s="10">
        <f t="shared" si="15"/>
        <v>439688.83469356538</v>
      </c>
      <c r="BR10" s="10">
        <f t="shared" si="16"/>
        <v>474029.76077209896</v>
      </c>
      <c r="BS10" s="10">
        <f t="shared" si="17"/>
        <v>490758.17339798668</v>
      </c>
      <c r="BT10" s="10">
        <f t="shared" si="18"/>
        <v>524378.25146574259</v>
      </c>
      <c r="BU10" s="10">
        <f t="shared" si="19"/>
        <v>520094.89822857804</v>
      </c>
      <c r="BV10" s="10">
        <f t="shared" si="20"/>
        <v>527452.19587331847</v>
      </c>
      <c r="BW10" s="10">
        <f t="shared" si="21"/>
        <v>551199.56555295817</v>
      </c>
      <c r="BX10" s="10">
        <f t="shared" si="22"/>
        <v>533235.70982339082</v>
      </c>
      <c r="BY10" s="10">
        <f t="shared" si="23"/>
        <v>552424.52713516704</v>
      </c>
      <c r="BZ10" s="10">
        <f t="shared" si="24"/>
        <v>553729.9914638839</v>
      </c>
      <c r="CA10" s="10">
        <f t="shared" si="25"/>
        <v>531829.23125418567</v>
      </c>
      <c r="CB10" s="10">
        <f t="shared" si="26"/>
        <v>532113.18129158614</v>
      </c>
      <c r="CC10" s="10">
        <f t="shared" si="27"/>
        <v>535813.70756134565</v>
      </c>
      <c r="CD10" s="10">
        <f t="shared" si="28"/>
        <v>551244.03982337145</v>
      </c>
      <c r="CE10" s="10">
        <f t="shared" si="29"/>
        <v>552278.72816502035</v>
      </c>
      <c r="CF10" s="10">
        <f t="shared" si="30"/>
        <v>571668.94838349312</v>
      </c>
      <c r="CG10" s="10">
        <f t="shared" si="31"/>
        <v>594584.21718145744</v>
      </c>
      <c r="CH10" s="10">
        <f t="shared" si="32"/>
        <v>621317.01754081994</v>
      </c>
      <c r="CI10" s="12"/>
      <c r="CJ10" s="13" t="s">
        <v>133</v>
      </c>
      <c r="CK10" s="13" t="s">
        <v>134</v>
      </c>
      <c r="CL10" s="13">
        <v>9</v>
      </c>
      <c r="CM10" s="13">
        <v>190997.69756394799</v>
      </c>
      <c r="CN10" s="13">
        <v>131.562642457159</v>
      </c>
      <c r="CO10" s="13">
        <v>1451.7624000000001</v>
      </c>
      <c r="CP10" s="11"/>
      <c r="CQ10" s="13" t="s">
        <v>133</v>
      </c>
      <c r="CR10" s="13" t="s">
        <v>134</v>
      </c>
      <c r="CS10" s="14">
        <v>152556.69295304199</v>
      </c>
      <c r="CT10" s="13">
        <v>9</v>
      </c>
      <c r="CU10" s="14">
        <v>105.08379183456999</v>
      </c>
      <c r="CV10" s="14">
        <v>1451.7623535436001</v>
      </c>
      <c r="CW10" s="11"/>
      <c r="CZ10" s="10"/>
      <c r="DS10" s="8">
        <f>1200000*($CV10/(SUM($CV$8:$CV$11)))</f>
        <v>356400.82309658895</v>
      </c>
      <c r="DV10" s="8">
        <f t="shared" si="2"/>
        <v>347670.57793025364</v>
      </c>
      <c r="EB10" s="8">
        <f t="shared" si="3"/>
        <v>121684.70227558877</v>
      </c>
      <c r="EF10" s="8">
        <f t="shared" si="4"/>
        <v>825756.10330243141</v>
      </c>
      <c r="EG10" s="8">
        <f t="shared" si="33"/>
        <v>631335.95756039047</v>
      </c>
      <c r="EH10" s="8">
        <f t="shared" si="5"/>
        <v>1.5816268839654913E-2</v>
      </c>
      <c r="EI10" s="8">
        <f t="shared" si="6"/>
        <v>434.87555385312578</v>
      </c>
      <c r="EJ10" s="12"/>
      <c r="FG10" s="8">
        <f>18300000*($CV10/(SUM($CV$8:$CV$11)))</f>
        <v>5435112.5522229811</v>
      </c>
      <c r="FP10" s="8">
        <f t="shared" si="7"/>
        <v>2394581.1054946217</v>
      </c>
      <c r="FT10" s="12"/>
      <c r="FU10" s="8">
        <f t="shared" si="34"/>
        <v>5435112.5522229811</v>
      </c>
      <c r="FV10" s="8">
        <f t="shared" si="35"/>
        <v>0</v>
      </c>
      <c r="FW10" s="8">
        <f t="shared" si="36"/>
        <v>0</v>
      </c>
      <c r="FX10" s="8">
        <f t="shared" si="37"/>
        <v>0</v>
      </c>
      <c r="FY10" s="8">
        <f t="shared" si="38"/>
        <v>0</v>
      </c>
      <c r="FZ10" s="8">
        <f t="shared" si="39"/>
        <v>0</v>
      </c>
      <c r="GA10" s="8">
        <f t="shared" si="39"/>
        <v>2394581.1054946217</v>
      </c>
      <c r="GB10" s="8">
        <f t="shared" si="39"/>
        <v>0</v>
      </c>
      <c r="GC10" s="8">
        <f t="shared" si="39"/>
        <v>0</v>
      </c>
      <c r="GD10" s="8">
        <f t="shared" si="40"/>
        <v>7829693.6577176023</v>
      </c>
    </row>
    <row r="11" spans="1:186" x14ac:dyDescent="0.3">
      <c r="A11" s="13">
        <v>10</v>
      </c>
      <c r="B11" s="13" t="s">
        <v>135</v>
      </c>
      <c r="C11" s="13" t="s">
        <v>136</v>
      </c>
      <c r="D11" s="13" t="str">
        <f t="shared" si="41"/>
        <v>AV/BB</v>
      </c>
      <c r="E11" s="13">
        <f t="shared" si="42"/>
        <v>421787.72441936331</v>
      </c>
      <c r="F11" s="13">
        <f>IF(T11&gt;T10,EI11-EI10,EI10-EI11)</f>
        <v>-5.6843418860808015E-14</v>
      </c>
      <c r="G11" s="13">
        <f>IF(T11&gt;T10,CU11-CU10,CU10-CU11)</f>
        <v>-17.701971000458286</v>
      </c>
      <c r="H11" s="13">
        <f>IF(T11&gt;T10,CN11-CN10,CN10-CN11)</f>
        <v>-24.326534678602002</v>
      </c>
      <c r="I11" s="13">
        <f>IF(T11&gt;T10,O11-O10,O10-O11)</f>
        <v>7.616620239323918E-2</v>
      </c>
      <c r="J11" s="13" t="s">
        <v>116</v>
      </c>
      <c r="L11" s="13">
        <f t="shared" si="43"/>
        <v>10</v>
      </c>
      <c r="M11" s="13">
        <f t="shared" si="0"/>
        <v>-19.854286944445292</v>
      </c>
      <c r="N11" s="13">
        <f>(2*EG11)/$L11/$CO11</f>
        <v>86.975107987421666</v>
      </c>
      <c r="O11" s="13">
        <f t="shared" si="8"/>
        <v>-0.2282755078305464</v>
      </c>
      <c r="P11" s="13">
        <f t="shared" si="1"/>
        <v>3</v>
      </c>
      <c r="Q11" s="13">
        <f t="shared" si="9"/>
        <v>6.666666666666667</v>
      </c>
      <c r="S11" s="14">
        <f t="shared" si="10"/>
        <v>992009.50906244456</v>
      </c>
      <c r="T11" s="14">
        <f t="shared" si="11"/>
        <v>933719.86023951182</v>
      </c>
      <c r="V11" s="14">
        <v>324860.73586858902</v>
      </c>
      <c r="W11" s="14">
        <v>402104.73947252502</v>
      </c>
      <c r="X11" s="14">
        <v>467306.59863345203</v>
      </c>
      <c r="Y11" s="14">
        <v>591919.08777455997</v>
      </c>
      <c r="Z11" s="14">
        <v>708367.846763612</v>
      </c>
      <c r="AA11" s="14">
        <v>818530.22213204205</v>
      </c>
      <c r="AB11" s="14">
        <v>965612.54916624399</v>
      </c>
      <c r="AC11" s="14">
        <v>963319.96749255306</v>
      </c>
      <c r="AD11" s="14">
        <v>970430.95190880203</v>
      </c>
      <c r="AE11" s="14">
        <v>923689.28534094396</v>
      </c>
      <c r="AF11" s="14">
        <v>845350.71877445304</v>
      </c>
      <c r="AG11" s="14">
        <v>846951.51340501395</v>
      </c>
      <c r="AH11" s="14">
        <v>814778.19863598503</v>
      </c>
      <c r="AI11" s="14">
        <v>836159.22285734105</v>
      </c>
      <c r="AJ11" s="14">
        <v>888763.98938048503</v>
      </c>
      <c r="AK11" s="14">
        <v>885342.67272216303</v>
      </c>
      <c r="AL11" s="14">
        <v>899929.54810794303</v>
      </c>
      <c r="AM11" s="14">
        <v>923642.96824840095</v>
      </c>
      <c r="AN11" s="14">
        <v>951232.55661915801</v>
      </c>
      <c r="AO11" s="14">
        <v>995957.90368267102</v>
      </c>
      <c r="AP11" s="14">
        <v>1068393.3918636199</v>
      </c>
      <c r="AR11" s="17">
        <v>3.2888721496165063E-2</v>
      </c>
      <c r="AS11" s="17">
        <v>2.8843039908195367E-2</v>
      </c>
      <c r="AT11" s="17">
        <v>2.3508826348185297E-2</v>
      </c>
      <c r="AU11" s="17">
        <v>1.727558717854083E-2</v>
      </c>
      <c r="AV11" s="17">
        <v>9.7904355801925469E-3</v>
      </c>
      <c r="AW11" s="17">
        <v>1.8178580442596015E-3</v>
      </c>
      <c r="AX11" s="17">
        <v>-3.3449229627590116E-3</v>
      </c>
      <c r="AY11" s="17">
        <v>-1.1079319634054174E-3</v>
      </c>
      <c r="AZ11" s="17">
        <v>4.8934098997499564E-3</v>
      </c>
      <c r="BA11" s="17">
        <v>1.5235248091937992E-2</v>
      </c>
      <c r="BB11" s="17">
        <v>1.6126764918219072E-2</v>
      </c>
      <c r="BC11" s="17">
        <v>2.1540722483505803E-2</v>
      </c>
      <c r="BD11" s="17">
        <v>2.7613026747848268E-2</v>
      </c>
      <c r="BE11" s="17">
        <v>2.6978579088403398E-2</v>
      </c>
      <c r="BF11" s="17">
        <v>2.5079662791946955E-2</v>
      </c>
      <c r="BG11" s="17">
        <v>2.5870185947085789E-2</v>
      </c>
      <c r="BH11" s="17">
        <v>2.6893536703573639E-2</v>
      </c>
      <c r="BI11" s="17">
        <v>2.3026535336124088E-2</v>
      </c>
      <c r="BJ11" s="17">
        <v>1.6693942729572031E-2</v>
      </c>
      <c r="BK11" s="17">
        <v>2.2786008601595631E-2</v>
      </c>
      <c r="BL11" s="17">
        <v>0</v>
      </c>
      <c r="BN11" s="14">
        <f t="shared" si="12"/>
        <v>620537.35214902181</v>
      </c>
      <c r="BO11" s="14">
        <f t="shared" si="13"/>
        <v>690196.17283720977</v>
      </c>
      <c r="BP11" s="14">
        <f t="shared" si="14"/>
        <v>709987.28845734883</v>
      </c>
      <c r="BQ11" s="14">
        <f t="shared" si="15"/>
        <v>791988.589281313</v>
      </c>
      <c r="BR11" s="14">
        <f t="shared" si="16"/>
        <v>827863.78761494777</v>
      </c>
      <c r="BS11" s="14">
        <f t="shared" si="17"/>
        <v>841136.06467151665</v>
      </c>
      <c r="BT11" s="14">
        <f t="shared" si="18"/>
        <v>921364.06361294258</v>
      </c>
      <c r="BU11" s="14">
        <f t="shared" si="19"/>
        <v>949537.01912123186</v>
      </c>
      <c r="BV11" s="14">
        <f t="shared" si="20"/>
        <v>1028974.5123346307</v>
      </c>
      <c r="BW11" s="14">
        <f t="shared" si="21"/>
        <v>1090836.0205349592</v>
      </c>
      <c r="BX11" s="14">
        <f t="shared" si="22"/>
        <v>992009.50906244456</v>
      </c>
      <c r="BY11" s="14">
        <f t="shared" si="23"/>
        <v>1026029.1602759436</v>
      </c>
      <c r="BZ11" s="14">
        <f t="shared" si="24"/>
        <v>1013155.7377825747</v>
      </c>
      <c r="CA11" s="14">
        <f t="shared" si="25"/>
        <v>1007438.8163109756</v>
      </c>
      <c r="CB11" s="14">
        <f t="shared" si="26"/>
        <v>1031174.4740790847</v>
      </c>
      <c r="CC11" s="14">
        <f t="shared" si="27"/>
        <v>1005943.154406806</v>
      </c>
      <c r="CD11" s="14">
        <f t="shared" si="28"/>
        <v>1000714.5013893154</v>
      </c>
      <c r="CE11" s="14">
        <f t="shared" si="29"/>
        <v>988928.34310041554</v>
      </c>
      <c r="CF11" s="14">
        <f t="shared" si="30"/>
        <v>983257.29710063129</v>
      </c>
      <c r="CG11" s="14">
        <f t="shared" si="31"/>
        <v>1018651.8090428115</v>
      </c>
      <c r="CH11" s="14">
        <f t="shared" si="32"/>
        <v>1068393.3918636199</v>
      </c>
      <c r="CJ11" s="13" t="s">
        <v>137</v>
      </c>
      <c r="CK11" s="13" t="s">
        <v>136</v>
      </c>
      <c r="CL11" s="13">
        <v>10</v>
      </c>
      <c r="CM11" s="13">
        <v>93676.831155491498</v>
      </c>
      <c r="CN11" s="13">
        <v>107.236107778557</v>
      </c>
      <c r="CO11" s="13">
        <v>873.55679999999995</v>
      </c>
      <c r="CQ11" s="13" t="s">
        <v>137</v>
      </c>
      <c r="CR11" s="13" t="s">
        <v>136</v>
      </c>
      <c r="CS11" s="14">
        <v>76332.981343364503</v>
      </c>
      <c r="CT11" s="13">
        <v>10</v>
      </c>
      <c r="CU11" s="14">
        <v>87.381820834111707</v>
      </c>
      <c r="CV11" s="14">
        <v>873.55677204618303</v>
      </c>
      <c r="CZ11" s="14"/>
      <c r="DS11" s="13">
        <f>1200000*($CV11/(SUM($CV$8:$CV$11)))</f>
        <v>214454.07495167476</v>
      </c>
      <c r="DV11" s="13">
        <f t="shared" si="2"/>
        <v>209200.89782660294</v>
      </c>
      <c r="EB11" s="13">
        <f t="shared" si="3"/>
        <v>73220.314239311032</v>
      </c>
      <c r="EF11" s="13">
        <f t="shared" si="4"/>
        <v>496875.28701758874</v>
      </c>
      <c r="EG11" s="13">
        <f t="shared" si="33"/>
        <v>379888.48506573256</v>
      </c>
      <c r="EH11" s="13">
        <f t="shared" si="5"/>
        <v>9.5169906559838553E-3</v>
      </c>
      <c r="EI11" s="13">
        <f t="shared" si="6"/>
        <v>434.87555385312572</v>
      </c>
      <c r="FG11" s="13">
        <f>18300000*($CV11/(SUM($CV$8:$CV$11)))</f>
        <v>3270424.6430130401</v>
      </c>
      <c r="FP11" s="13">
        <f t="shared" si="7"/>
        <v>1440871.1837807279</v>
      </c>
      <c r="FU11" s="13">
        <f t="shared" si="34"/>
        <v>3270424.6430130401</v>
      </c>
      <c r="FV11" s="13">
        <f t="shared" si="35"/>
        <v>0</v>
      </c>
      <c r="FW11" s="13">
        <f t="shared" si="36"/>
        <v>0</v>
      </c>
      <c r="FX11" s="13">
        <f t="shared" si="37"/>
        <v>0</v>
      </c>
      <c r="FY11" s="13">
        <f t="shared" si="38"/>
        <v>0</v>
      </c>
      <c r="FZ11" s="13">
        <f t="shared" si="39"/>
        <v>0</v>
      </c>
      <c r="GA11" s="13">
        <f t="shared" si="39"/>
        <v>1440871.1837807279</v>
      </c>
      <c r="GB11" s="13">
        <f t="shared" si="39"/>
        <v>0</v>
      </c>
      <c r="GC11" s="13">
        <f t="shared" si="39"/>
        <v>0</v>
      </c>
      <c r="GD11" s="13">
        <f t="shared" si="40"/>
        <v>4711295.8267937675</v>
      </c>
    </row>
    <row r="12" spans="1:186" s="8" customFormat="1" x14ac:dyDescent="0.3">
      <c r="A12" s="8">
        <v>11</v>
      </c>
      <c r="B12" s="8" t="s">
        <v>138</v>
      </c>
      <c r="C12" s="8" t="s">
        <v>139</v>
      </c>
      <c r="D12" s="13" t="str">
        <f t="shared" si="41"/>
        <v>BM/AV</v>
      </c>
      <c r="E12" s="13">
        <f t="shared" si="42"/>
        <v>493014.49754013185</v>
      </c>
      <c r="F12" s="13">
        <f>IF(T12&gt;T11,EI12-EI11,EI11-EI12)</f>
        <v>67.392378514591485</v>
      </c>
      <c r="G12" s="13">
        <f>IF(T12&gt;T11,CU12-CU11,CU11-CU12)</f>
        <v>-10.260891113342993</v>
      </c>
      <c r="H12" s="13">
        <f>IF(T12&gt;T11,CN12-CN11,CN11-CN12)</f>
        <v>21.479368515403905</v>
      </c>
      <c r="I12" s="13">
        <f>IF(T12&gt;T11,O12-O11,O11-O12)</f>
        <v>-0.38999683090476794</v>
      </c>
      <c r="J12" s="8" t="s">
        <v>116</v>
      </c>
      <c r="L12" s="8">
        <f t="shared" si="43"/>
        <v>10</v>
      </c>
      <c r="M12" s="8">
        <f t="shared" si="0"/>
        <v>11.885972684301606</v>
      </c>
      <c r="N12" s="8">
        <f>(2*EG12)/$L12/$CO12</f>
        <v>73.4966327158143</v>
      </c>
      <c r="O12" s="8">
        <f t="shared" si="8"/>
        <v>0.16172132307422155</v>
      </c>
      <c r="P12" s="8">
        <f t="shared" si="1"/>
        <v>3</v>
      </c>
      <c r="Q12" s="8">
        <f t="shared" si="9"/>
        <v>6.666666666666667</v>
      </c>
      <c r="S12" s="10">
        <f t="shared" si="10"/>
        <v>454816.57560974214</v>
      </c>
      <c r="T12" s="10">
        <f t="shared" si="11"/>
        <v>440705.36269937997</v>
      </c>
      <c r="U12" s="11"/>
      <c r="V12" s="10">
        <v>151717.830240746</v>
      </c>
      <c r="W12" s="10">
        <v>176909.97873079299</v>
      </c>
      <c r="X12" s="10">
        <v>213550.74463626399</v>
      </c>
      <c r="Y12" s="10">
        <v>274094.14149353001</v>
      </c>
      <c r="Z12" s="10">
        <v>335786.46496815101</v>
      </c>
      <c r="AA12" s="10">
        <v>397076.88475876697</v>
      </c>
      <c r="AB12" s="10">
        <v>450667.899744578</v>
      </c>
      <c r="AC12" s="10">
        <v>438739.745169628</v>
      </c>
      <c r="AD12" s="10">
        <v>420316.97731008602</v>
      </c>
      <c r="AE12" s="10">
        <v>390995.95896308101</v>
      </c>
      <c r="AF12" s="10">
        <v>394419.81995926902</v>
      </c>
      <c r="AG12" s="10">
        <v>384687.96866563702</v>
      </c>
      <c r="AH12" s="10">
        <v>365762.75133785902</v>
      </c>
      <c r="AI12" s="10">
        <v>372220.95378286502</v>
      </c>
      <c r="AJ12" s="10">
        <v>415658.851346999</v>
      </c>
      <c r="AK12" s="10">
        <v>412685.09591138101</v>
      </c>
      <c r="AL12" s="10">
        <v>438973.14437307097</v>
      </c>
      <c r="AM12" s="10">
        <v>473917.31713945</v>
      </c>
      <c r="AN12" s="10">
        <v>513873.36318943102</v>
      </c>
      <c r="AO12" s="10">
        <v>529449.14601639204</v>
      </c>
      <c r="AP12" s="10">
        <v>548227.62663900096</v>
      </c>
      <c r="AQ12" s="11"/>
      <c r="AR12" s="16">
        <v>3.2888721496165063E-2</v>
      </c>
      <c r="AS12" s="16">
        <v>2.8843039908195367E-2</v>
      </c>
      <c r="AT12" s="16">
        <v>2.3508826348185297E-2</v>
      </c>
      <c r="AU12" s="16">
        <v>1.727558717854083E-2</v>
      </c>
      <c r="AV12" s="16">
        <v>9.7904355801925469E-3</v>
      </c>
      <c r="AW12" s="16">
        <v>1.8178580442596015E-3</v>
      </c>
      <c r="AX12" s="16">
        <v>-3.3449229627590116E-3</v>
      </c>
      <c r="AY12" s="16">
        <v>-1.1079319634054174E-3</v>
      </c>
      <c r="AZ12" s="16">
        <v>4.8934098997499564E-3</v>
      </c>
      <c r="BA12" s="16">
        <v>1.5235248091937992E-2</v>
      </c>
      <c r="BB12" s="16">
        <v>1.6126764918219072E-2</v>
      </c>
      <c r="BC12" s="16">
        <v>2.1540722483505803E-2</v>
      </c>
      <c r="BD12" s="16">
        <v>2.7613026747848268E-2</v>
      </c>
      <c r="BE12" s="16">
        <v>2.6978579088403398E-2</v>
      </c>
      <c r="BF12" s="16">
        <v>2.5079662791946955E-2</v>
      </c>
      <c r="BG12" s="16">
        <v>2.5870185947085789E-2</v>
      </c>
      <c r="BH12" s="16">
        <v>2.6893536703573639E-2</v>
      </c>
      <c r="BI12" s="16">
        <v>2.3026535336124088E-2</v>
      </c>
      <c r="BJ12" s="16">
        <v>1.6693942729572031E-2</v>
      </c>
      <c r="BK12" s="16">
        <v>2.2786008601595631E-2</v>
      </c>
      <c r="BL12" s="16">
        <v>0</v>
      </c>
      <c r="BM12" s="11"/>
      <c r="BN12" s="10">
        <f t="shared" si="12"/>
        <v>289805.96993251593</v>
      </c>
      <c r="BO12" s="10">
        <f t="shared" si="13"/>
        <v>303658.66967118531</v>
      </c>
      <c r="BP12" s="10">
        <f t="shared" si="14"/>
        <v>324451.47270705632</v>
      </c>
      <c r="BQ12" s="10">
        <f t="shared" si="15"/>
        <v>366738.35484489554</v>
      </c>
      <c r="BR12" s="10">
        <f t="shared" si="16"/>
        <v>392430.93258456921</v>
      </c>
      <c r="BS12" s="10">
        <f t="shared" si="17"/>
        <v>408043.19643573987</v>
      </c>
      <c r="BT12" s="10">
        <f t="shared" si="18"/>
        <v>430016.37438028672</v>
      </c>
      <c r="BU12" s="10">
        <f t="shared" si="19"/>
        <v>432462.36334408587</v>
      </c>
      <c r="BV12" s="10">
        <f t="shared" si="20"/>
        <v>445673.60089134541</v>
      </c>
      <c r="BW12" s="10">
        <f t="shared" si="21"/>
        <v>461748.86153746716</v>
      </c>
      <c r="BX12" s="10">
        <f t="shared" si="22"/>
        <v>462847.19853261992</v>
      </c>
      <c r="BY12" s="10">
        <f t="shared" si="23"/>
        <v>466025.5837685896</v>
      </c>
      <c r="BZ12" s="10">
        <f t="shared" si="24"/>
        <v>454816.57560974214</v>
      </c>
      <c r="CA12" s="10">
        <f t="shared" si="25"/>
        <v>448467.02258898568</v>
      </c>
      <c r="CB12" s="10">
        <f t="shared" si="26"/>
        <v>482261.66063819313</v>
      </c>
      <c r="CC12" s="10">
        <f t="shared" si="27"/>
        <v>468900.64146727038</v>
      </c>
      <c r="CD12" s="10">
        <f t="shared" si="28"/>
        <v>488134.64589331043</v>
      </c>
      <c r="CE12" s="10">
        <f t="shared" si="29"/>
        <v>507414.96803044796</v>
      </c>
      <c r="CF12" s="10">
        <f t="shared" si="30"/>
        <v>531173.7183780435</v>
      </c>
      <c r="CG12" s="10">
        <f t="shared" si="31"/>
        <v>541513.17881162907</v>
      </c>
      <c r="CH12" s="10">
        <f t="shared" si="32"/>
        <v>548227.62663900096</v>
      </c>
      <c r="CI12" s="12"/>
      <c r="CJ12" s="13" t="s">
        <v>138</v>
      </c>
      <c r="CK12" s="13" t="s">
        <v>139</v>
      </c>
      <c r="CL12" s="13">
        <v>11</v>
      </c>
      <c r="CM12" s="13">
        <v>191779.3053328</v>
      </c>
      <c r="CN12" s="13">
        <v>85.756739263153094</v>
      </c>
      <c r="CO12" s="13">
        <v>2236.3175999999999</v>
      </c>
      <c r="CP12" s="11"/>
      <c r="CQ12" s="13" t="s">
        <v>138</v>
      </c>
      <c r="CR12" s="13" t="s">
        <v>139</v>
      </c>
      <c r="CS12" s="14">
        <v>218360.10825229899</v>
      </c>
      <c r="CT12" s="13">
        <v>11</v>
      </c>
      <c r="CU12" s="14">
        <v>97.6427119474547</v>
      </c>
      <c r="CV12" s="14">
        <v>2236.3175284378299</v>
      </c>
      <c r="CW12" s="11"/>
      <c r="CZ12" s="10"/>
      <c r="DS12" s="8">
        <f>1500000*($CV12/(SUM($CV$12:$CV$15)))</f>
        <v>351883.23315001873</v>
      </c>
      <c r="DV12" s="8">
        <f t="shared" si="2"/>
        <v>535557.21819741093</v>
      </c>
      <c r="EB12" s="8">
        <f t="shared" si="3"/>
        <v>187445.02636909383</v>
      </c>
      <c r="EF12" s="8">
        <f t="shared" si="4"/>
        <v>1074885.4777165235</v>
      </c>
      <c r="EG12" s="8">
        <f t="shared" si="33"/>
        <v>821809.06641555659</v>
      </c>
      <c r="EH12" s="8">
        <f t="shared" si="5"/>
        <v>2.0588013360621778E-2</v>
      </c>
      <c r="EI12" s="8">
        <f t="shared" si="6"/>
        <v>367.48317533853424</v>
      </c>
      <c r="EJ12" s="12"/>
      <c r="FG12" s="8">
        <f>25300000*($CV12/(SUM($CV$12:$CV$15)))</f>
        <v>5935097.1991303153</v>
      </c>
      <c r="FP12" s="8">
        <f t="shared" si="7"/>
        <v>3688650.3403346683</v>
      </c>
      <c r="FT12" s="12"/>
      <c r="FU12" s="8">
        <f t="shared" si="34"/>
        <v>5935097.1991303153</v>
      </c>
      <c r="FV12" s="8">
        <f t="shared" si="35"/>
        <v>0</v>
      </c>
      <c r="FW12" s="8">
        <f t="shared" si="36"/>
        <v>0</v>
      </c>
      <c r="FX12" s="8">
        <f t="shared" si="37"/>
        <v>0</v>
      </c>
      <c r="FY12" s="8">
        <f t="shared" si="38"/>
        <v>0</v>
      </c>
      <c r="FZ12" s="8">
        <f t="shared" si="39"/>
        <v>0</v>
      </c>
      <c r="GA12" s="8">
        <f t="shared" si="39"/>
        <v>3688650.3403346683</v>
      </c>
      <c r="GB12" s="8">
        <f t="shared" si="39"/>
        <v>0</v>
      </c>
      <c r="GC12" s="8">
        <f t="shared" si="39"/>
        <v>0</v>
      </c>
      <c r="GD12" s="8">
        <f t="shared" si="40"/>
        <v>9623747.5394649841</v>
      </c>
    </row>
    <row r="13" spans="1:186" x14ac:dyDescent="0.3">
      <c r="A13" s="13">
        <v>12</v>
      </c>
      <c r="B13" s="13" t="s">
        <v>140</v>
      </c>
      <c r="C13" s="13" t="s">
        <v>141</v>
      </c>
      <c r="D13" s="13" t="str">
        <f t="shared" si="41"/>
        <v>SL/BM</v>
      </c>
      <c r="E13" s="13">
        <f t="shared" si="42"/>
        <v>217707.887907786</v>
      </c>
      <c r="F13" s="13">
        <f>IF(T13&gt;T12,EI13-EI12,EI12-EI13)</f>
        <v>5.6843418860808015E-14</v>
      </c>
      <c r="G13" s="13">
        <f>IF(T13&gt;T12,CU13-CU12,CU12-CU13)</f>
        <v>-23.381999450720301</v>
      </c>
      <c r="H13" s="13">
        <f>IF(T13&gt;T12,CN13-CN12,CN12-CN13)</f>
        <v>-15.932375924432591</v>
      </c>
      <c r="I13" s="13">
        <f>IF(T13&gt;T12,O13-O12,O12-O13)</f>
        <v>-0.1013600657746159</v>
      </c>
      <c r="J13" s="13" t="s">
        <v>116</v>
      </c>
      <c r="L13" s="13">
        <f t="shared" si="43"/>
        <v>10</v>
      </c>
      <c r="M13" s="13">
        <f t="shared" si="0"/>
        <v>4.436349158013897</v>
      </c>
      <c r="N13" s="13">
        <f>(2*EG13)/$L13/$CO13</f>
        <v>73.49663271581457</v>
      </c>
      <c r="O13" s="13">
        <f t="shared" si="8"/>
        <v>6.036125729960564E-2</v>
      </c>
      <c r="P13" s="13">
        <f t="shared" si="1"/>
        <v>3</v>
      </c>
      <c r="Q13" s="13">
        <f t="shared" si="9"/>
        <v>6.666666666666667</v>
      </c>
      <c r="S13" s="14">
        <f t="shared" si="10"/>
        <v>657365.51451659238</v>
      </c>
      <c r="T13" s="14">
        <f t="shared" si="11"/>
        <v>658413.25060716597</v>
      </c>
      <c r="V13" s="14">
        <v>307262.06775034801</v>
      </c>
      <c r="W13" s="14">
        <v>364749.228273427</v>
      </c>
      <c r="X13" s="14">
        <v>411567.56131308398</v>
      </c>
      <c r="Y13" s="14">
        <v>466578.30712173</v>
      </c>
      <c r="Z13" s="14">
        <v>521608.01361567498</v>
      </c>
      <c r="AA13" s="14">
        <v>606346.57160460204</v>
      </c>
      <c r="AB13" s="14">
        <v>653225.10249527195</v>
      </c>
      <c r="AC13" s="14">
        <v>620843.39601294603</v>
      </c>
      <c r="AD13" s="14">
        <v>592766.88983472099</v>
      </c>
      <c r="AE13" s="14">
        <v>564271.14392453502</v>
      </c>
      <c r="AF13" s="14">
        <v>558462.36292556406</v>
      </c>
      <c r="AG13" s="14">
        <v>542632.45035877696</v>
      </c>
      <c r="AH13" s="14">
        <v>538694.27491478901</v>
      </c>
      <c r="AI13" s="14">
        <v>552327.75130773697</v>
      </c>
      <c r="AJ13" s="14">
        <v>589499.04964305495</v>
      </c>
      <c r="AK13" s="14">
        <v>614983.68938914605</v>
      </c>
      <c r="AL13" s="14">
        <v>641315.62130603101</v>
      </c>
      <c r="AM13" s="14">
        <v>665909.22320604301</v>
      </c>
      <c r="AN13" s="14">
        <v>690450.69039587805</v>
      </c>
      <c r="AO13" s="14">
        <v>702648.58554664999</v>
      </c>
      <c r="AP13" s="14">
        <v>712028.552657263</v>
      </c>
      <c r="AR13" s="17">
        <v>3.2888721496165063E-2</v>
      </c>
      <c r="AS13" s="17">
        <v>2.8843039908195367E-2</v>
      </c>
      <c r="AT13" s="17">
        <v>2.3508826348185297E-2</v>
      </c>
      <c r="AU13" s="17">
        <v>1.727558717854083E-2</v>
      </c>
      <c r="AV13" s="17">
        <v>9.7904355801925469E-3</v>
      </c>
      <c r="AW13" s="17">
        <v>1.8178580442596015E-3</v>
      </c>
      <c r="AX13" s="17">
        <v>-3.3449229627590116E-3</v>
      </c>
      <c r="AY13" s="17">
        <v>-1.1079319634054174E-3</v>
      </c>
      <c r="AZ13" s="17">
        <v>4.8934098997499564E-3</v>
      </c>
      <c r="BA13" s="17">
        <v>1.5235248091937992E-2</v>
      </c>
      <c r="BB13" s="17">
        <v>1.6126764918219072E-2</v>
      </c>
      <c r="BC13" s="17">
        <v>2.1540722483505803E-2</v>
      </c>
      <c r="BD13" s="17">
        <v>2.7613026747848268E-2</v>
      </c>
      <c r="BE13" s="17">
        <v>2.6978579088403398E-2</v>
      </c>
      <c r="BF13" s="17">
        <v>2.5079662791946955E-2</v>
      </c>
      <c r="BG13" s="17">
        <v>2.5870185947085789E-2</v>
      </c>
      <c r="BH13" s="17">
        <v>2.6893536703573639E-2</v>
      </c>
      <c r="BI13" s="17">
        <v>2.3026535336124088E-2</v>
      </c>
      <c r="BJ13" s="17">
        <v>1.6693942729572031E-2</v>
      </c>
      <c r="BK13" s="17">
        <v>2.2786008601595631E-2</v>
      </c>
      <c r="BL13" s="17">
        <v>0</v>
      </c>
      <c r="BN13" s="14">
        <f t="shared" si="12"/>
        <v>586921.00609770871</v>
      </c>
      <c r="BO13" s="14">
        <f t="shared" si="13"/>
        <v>626076.98116138857</v>
      </c>
      <c r="BP13" s="14">
        <f t="shared" si="14"/>
        <v>625301.97032994032</v>
      </c>
      <c r="BQ13" s="14">
        <f t="shared" si="15"/>
        <v>624282.44481168082</v>
      </c>
      <c r="BR13" s="14">
        <f t="shared" si="16"/>
        <v>609599.07733683998</v>
      </c>
      <c r="BS13" s="14">
        <f t="shared" si="17"/>
        <v>623092.41036708665</v>
      </c>
      <c r="BT13" s="14">
        <f t="shared" si="18"/>
        <v>623291.54214979685</v>
      </c>
      <c r="BU13" s="14">
        <f t="shared" si="19"/>
        <v>611960.51933366829</v>
      </c>
      <c r="BV13" s="14">
        <f t="shared" si="20"/>
        <v>628526.96546422422</v>
      </c>
      <c r="BW13" s="14">
        <f t="shared" si="21"/>
        <v>666379.15899841918</v>
      </c>
      <c r="BX13" s="14">
        <f t="shared" si="22"/>
        <v>655349.26767295215</v>
      </c>
      <c r="BY13" s="14">
        <f t="shared" si="23"/>
        <v>657365.51451659238</v>
      </c>
      <c r="BZ13" s="14">
        <f t="shared" si="24"/>
        <v>669852.47820109944</v>
      </c>
      <c r="CA13" s="14">
        <f t="shared" si="25"/>
        <v>665467.05553483358</v>
      </c>
      <c r="CB13" s="14">
        <f t="shared" si="26"/>
        <v>683957.0231794822</v>
      </c>
      <c r="CC13" s="14">
        <f t="shared" si="27"/>
        <v>698756.14434208255</v>
      </c>
      <c r="CD13" s="14">
        <f t="shared" si="28"/>
        <v>713137.87124530051</v>
      </c>
      <c r="CE13" s="14">
        <f t="shared" si="29"/>
        <v>712977.33799596538</v>
      </c>
      <c r="CF13" s="14">
        <f t="shared" si="30"/>
        <v>713695.79909334541</v>
      </c>
      <c r="CG13" s="14">
        <f t="shared" si="31"/>
        <v>718659.14226081502</v>
      </c>
      <c r="CH13" s="14">
        <f t="shared" si="32"/>
        <v>712028.552657263</v>
      </c>
      <c r="CJ13" s="13" t="s">
        <v>140</v>
      </c>
      <c r="CK13" s="13" t="s">
        <v>141</v>
      </c>
      <c r="CL13" s="13">
        <v>12</v>
      </c>
      <c r="CM13" s="13">
        <v>233170.696900454</v>
      </c>
      <c r="CN13" s="13">
        <v>69.824363338720502</v>
      </c>
      <c r="CO13" s="13">
        <v>3339.3888000000002</v>
      </c>
      <c r="CQ13" s="13" t="s">
        <v>140</v>
      </c>
      <c r="CR13" s="13" t="s">
        <v>141</v>
      </c>
      <c r="CS13" s="14">
        <v>247985.38365608201</v>
      </c>
      <c r="CT13" s="13">
        <v>12</v>
      </c>
      <c r="CU13" s="14">
        <v>74.260712496734399</v>
      </c>
      <c r="CV13" s="14">
        <v>3339.38869313956</v>
      </c>
      <c r="CZ13" s="14"/>
      <c r="DS13" s="13">
        <f>1500000*($CV13/(SUM($CV$12:$CV$15)))</f>
        <v>525450.82491367299</v>
      </c>
      <c r="DV13" s="13">
        <f t="shared" si="2"/>
        <v>799722.62267559709</v>
      </c>
      <c r="EB13" s="13">
        <f t="shared" si="3"/>
        <v>279902.91793645901</v>
      </c>
      <c r="EF13" s="13">
        <f t="shared" si="4"/>
        <v>1605076.365525729</v>
      </c>
      <c r="EG13" s="13">
        <f t="shared" si="33"/>
        <v>1227169.1606445238</v>
      </c>
      <c r="EH13" s="13">
        <f t="shared" si="5"/>
        <v>3.0743120400568761E-2</v>
      </c>
      <c r="EI13" s="13">
        <f t="shared" si="6"/>
        <v>367.48317533853429</v>
      </c>
      <c r="FG13" s="13">
        <f>25300000*($CV13/(SUM($CV$12:$CV$15)))</f>
        <v>8862603.9135439508</v>
      </c>
      <c r="FP13" s="13">
        <f t="shared" si="7"/>
        <v>5508089.5636781752</v>
      </c>
      <c r="FU13" s="13">
        <f t="shared" si="34"/>
        <v>8862603.9135439508</v>
      </c>
      <c r="FV13" s="13">
        <f t="shared" si="35"/>
        <v>0</v>
      </c>
      <c r="FW13" s="13">
        <f t="shared" si="36"/>
        <v>0</v>
      </c>
      <c r="FX13" s="13">
        <f t="shared" si="37"/>
        <v>0</v>
      </c>
      <c r="FY13" s="13">
        <f t="shared" si="38"/>
        <v>0</v>
      </c>
      <c r="FZ13" s="13">
        <f t="shared" si="39"/>
        <v>0</v>
      </c>
      <c r="GA13" s="13">
        <f t="shared" si="39"/>
        <v>5508089.5636781752</v>
      </c>
      <c r="GB13" s="13">
        <f t="shared" si="39"/>
        <v>0</v>
      </c>
      <c r="GC13" s="13">
        <f t="shared" si="39"/>
        <v>0</v>
      </c>
      <c r="GD13" s="13">
        <f t="shared" si="40"/>
        <v>14370693.477222126</v>
      </c>
    </row>
    <row r="14" spans="1:186" s="8" customFormat="1" x14ac:dyDescent="0.3">
      <c r="A14" s="8">
        <v>13</v>
      </c>
      <c r="B14" s="8" t="s">
        <v>142</v>
      </c>
      <c r="C14" s="8" t="s">
        <v>143</v>
      </c>
      <c r="D14" s="13" t="str">
        <f t="shared" si="41"/>
        <v>SG/SL</v>
      </c>
      <c r="E14" s="13">
        <f t="shared" si="42"/>
        <v>386854.54886320513</v>
      </c>
      <c r="F14" s="13">
        <f>IF(T14&gt;T13,EI14-EI13,EI13-EI14)</f>
        <v>0</v>
      </c>
      <c r="G14" s="13">
        <f>IF(T14&gt;T13,CU14-CU13,CU13-CU14)</f>
        <v>15.901580328749503</v>
      </c>
      <c r="H14" s="13">
        <f>IF(T14&gt;T13,CN14-CN13,CN13-CN14)</f>
        <v>25.1222412637579</v>
      </c>
      <c r="I14" s="13">
        <f>IF(T14&gt;T13,O14-O13,O13-O14)</f>
        <v>-0.12545691679047985</v>
      </c>
      <c r="J14" s="8" t="s">
        <v>116</v>
      </c>
      <c r="L14" s="8">
        <f t="shared" si="43"/>
        <v>10</v>
      </c>
      <c r="M14" s="8">
        <f t="shared" si="0"/>
        <v>-4.7843117769944996</v>
      </c>
      <c r="N14" s="8">
        <f>(2*EG14)/$L14/$CO14</f>
        <v>73.496632715814414</v>
      </c>
      <c r="O14" s="8">
        <f t="shared" si="8"/>
        <v>-6.5095659490874203E-2</v>
      </c>
      <c r="P14" s="8">
        <f t="shared" si="1"/>
        <v>3</v>
      </c>
      <c r="Q14" s="8">
        <f t="shared" si="9"/>
        <v>6.666666666666667</v>
      </c>
      <c r="S14" s="10">
        <f t="shared" si="10"/>
        <v>1040612.7189433388</v>
      </c>
      <c r="T14" s="10">
        <f t="shared" si="11"/>
        <v>1045267.7994703711</v>
      </c>
      <c r="U14" s="11"/>
      <c r="V14" s="10">
        <v>431264.79490722698</v>
      </c>
      <c r="W14" s="10">
        <v>523161.68529237201</v>
      </c>
      <c r="X14" s="10">
        <v>571876.12988166302</v>
      </c>
      <c r="Y14" s="10">
        <v>697102.32468858198</v>
      </c>
      <c r="Z14" s="10">
        <v>819109.892480487</v>
      </c>
      <c r="AA14" s="10">
        <v>954429.46628935495</v>
      </c>
      <c r="AB14" s="10">
        <v>1034161.49340222</v>
      </c>
      <c r="AC14" s="10">
        <v>1011212.84875306</v>
      </c>
      <c r="AD14" s="10">
        <v>951436.31755519297</v>
      </c>
      <c r="AE14" s="10">
        <v>883276.271761204</v>
      </c>
      <c r="AF14" s="10">
        <v>886417.05845729995</v>
      </c>
      <c r="AG14" s="10">
        <v>858989.73567236098</v>
      </c>
      <c r="AH14" s="10">
        <v>856121.45461308095</v>
      </c>
      <c r="AI14" s="10">
        <v>886398.66715065797</v>
      </c>
      <c r="AJ14" s="10">
        <v>968293.26237039</v>
      </c>
      <c r="AK14" s="10">
        <v>1027760.42602445</v>
      </c>
      <c r="AL14" s="10">
        <v>1079163.31617791</v>
      </c>
      <c r="AM14" s="10">
        <v>1102377.90289393</v>
      </c>
      <c r="AN14" s="10">
        <v>1152276.46672444</v>
      </c>
      <c r="AO14" s="10">
        <v>1167498.11446192</v>
      </c>
      <c r="AP14" s="10">
        <v>1183686.5052387</v>
      </c>
      <c r="AQ14" s="11"/>
      <c r="AR14" s="16">
        <v>3.2888721496165063E-2</v>
      </c>
      <c r="AS14" s="16">
        <v>2.8843039908195367E-2</v>
      </c>
      <c r="AT14" s="16">
        <v>2.3508826348185297E-2</v>
      </c>
      <c r="AU14" s="16">
        <v>1.727558717854083E-2</v>
      </c>
      <c r="AV14" s="16">
        <v>9.7904355801925469E-3</v>
      </c>
      <c r="AW14" s="16">
        <v>1.8178580442596015E-3</v>
      </c>
      <c r="AX14" s="16">
        <v>-3.3449229627590116E-3</v>
      </c>
      <c r="AY14" s="16">
        <v>-1.1079319634054174E-3</v>
      </c>
      <c r="AZ14" s="16">
        <v>4.8934098997499564E-3</v>
      </c>
      <c r="BA14" s="16">
        <v>1.5235248091937992E-2</v>
      </c>
      <c r="BB14" s="16">
        <v>1.6126764918219072E-2</v>
      </c>
      <c r="BC14" s="16">
        <v>2.1540722483505803E-2</v>
      </c>
      <c r="BD14" s="16">
        <v>2.7613026747848268E-2</v>
      </c>
      <c r="BE14" s="16">
        <v>2.6978579088403398E-2</v>
      </c>
      <c r="BF14" s="16">
        <v>2.5079662791946955E-2</v>
      </c>
      <c r="BG14" s="16">
        <v>2.5870185947085789E-2</v>
      </c>
      <c r="BH14" s="16">
        <v>2.6893536703573639E-2</v>
      </c>
      <c r="BI14" s="16">
        <v>2.3026535336124088E-2</v>
      </c>
      <c r="BJ14" s="16">
        <v>1.6693942729572031E-2</v>
      </c>
      <c r="BK14" s="16">
        <v>2.2786008601595631E-2</v>
      </c>
      <c r="BL14" s="16">
        <v>0</v>
      </c>
      <c r="BM14" s="11"/>
      <c r="BN14" s="10">
        <f t="shared" si="12"/>
        <v>823786.57793558703</v>
      </c>
      <c r="BO14" s="10">
        <f t="shared" si="13"/>
        <v>897985.41901675868</v>
      </c>
      <c r="BP14" s="10">
        <f t="shared" si="14"/>
        <v>868861.65094930329</v>
      </c>
      <c r="BQ14" s="10">
        <f t="shared" si="15"/>
        <v>932723.91128752916</v>
      </c>
      <c r="BR14" s="10">
        <f t="shared" si="16"/>
        <v>957287.12301090627</v>
      </c>
      <c r="BS14" s="10">
        <f t="shared" si="17"/>
        <v>980788.52017226885</v>
      </c>
      <c r="BT14" s="10">
        <f t="shared" si="18"/>
        <v>986771.80284765945</v>
      </c>
      <c r="BU14" s="10">
        <f t="shared" si="19"/>
        <v>996744.66065657709</v>
      </c>
      <c r="BV14" s="10">
        <f t="shared" si="20"/>
        <v>1008833.9813854322</v>
      </c>
      <c r="BW14" s="10">
        <f t="shared" si="21"/>
        <v>1043110.0464322317</v>
      </c>
      <c r="BX14" s="10">
        <f t="shared" si="22"/>
        <v>1040200.3942926987</v>
      </c>
      <c r="BY14" s="10">
        <f t="shared" si="23"/>
        <v>1040612.7189433388</v>
      </c>
      <c r="BZ14" s="10">
        <f t="shared" si="24"/>
        <v>1064565.013438123</v>
      </c>
      <c r="CA14" s="10">
        <f t="shared" si="25"/>
        <v>1067969.3527296544</v>
      </c>
      <c r="CB14" s="10">
        <f t="shared" si="26"/>
        <v>1123447.0652609365</v>
      </c>
      <c r="CC14" s="10">
        <f t="shared" si="27"/>
        <v>1167760.9097398212</v>
      </c>
      <c r="CD14" s="10">
        <f t="shared" si="28"/>
        <v>1200021.0262426934</v>
      </c>
      <c r="CE14" s="10">
        <f t="shared" si="29"/>
        <v>1180296.7060387104</v>
      </c>
      <c r="CF14" s="10">
        <f t="shared" si="30"/>
        <v>1191069.6667184697</v>
      </c>
      <c r="CG14" s="10">
        <f t="shared" si="31"/>
        <v>1194100.736540396</v>
      </c>
      <c r="CH14" s="10">
        <f t="shared" si="32"/>
        <v>1183686.5052387</v>
      </c>
      <c r="CI14" s="12"/>
      <c r="CJ14" s="13" t="s">
        <v>142</v>
      </c>
      <c r="CK14" s="13" t="s">
        <v>143</v>
      </c>
      <c r="CL14" s="13">
        <v>13</v>
      </c>
      <c r="CM14" s="13">
        <v>222806.94341275</v>
      </c>
      <c r="CN14" s="13">
        <v>94.946604602478402</v>
      </c>
      <c r="CO14" s="13">
        <v>2346.6552000000001</v>
      </c>
      <c r="CP14" s="11"/>
      <c r="CQ14" s="13" t="s">
        <v>142</v>
      </c>
      <c r="CR14" s="13" t="s">
        <v>143</v>
      </c>
      <c r="CS14" s="14">
        <v>211579.80653229001</v>
      </c>
      <c r="CT14" s="13">
        <v>13</v>
      </c>
      <c r="CU14" s="14">
        <v>90.162292825483902</v>
      </c>
      <c r="CV14" s="14">
        <v>2346.6551249070299</v>
      </c>
      <c r="CW14" s="11"/>
      <c r="CZ14" s="10"/>
      <c r="DS14" s="8">
        <f>1500000*($CV14/(SUM($CV$12:$CV$15)))</f>
        <v>369244.78833610442</v>
      </c>
      <c r="DV14" s="8">
        <f t="shared" si="2"/>
        <v>561981.05804850394</v>
      </c>
      <c r="EB14" s="8">
        <f t="shared" si="3"/>
        <v>196693.37031697639</v>
      </c>
      <c r="EF14" s="8">
        <f t="shared" si="4"/>
        <v>1127919.2167015849</v>
      </c>
      <c r="EG14" s="8">
        <f t="shared" si="33"/>
        <v>862356.27672528022</v>
      </c>
      <c r="EH14" s="8">
        <f t="shared" si="5"/>
        <v>2.1603804669950568E-2</v>
      </c>
      <c r="EI14" s="8">
        <f t="shared" si="6"/>
        <v>367.48317533853429</v>
      </c>
      <c r="EJ14" s="12"/>
      <c r="FG14" s="8">
        <f>25300000*($CV14/(SUM($CV$12:$CV$15)))</f>
        <v>6227928.7632689606</v>
      </c>
      <c r="FP14" s="8">
        <f t="shared" si="7"/>
        <v>3870644.537309071</v>
      </c>
      <c r="FT14" s="12"/>
      <c r="FU14" s="8">
        <f t="shared" si="34"/>
        <v>6227928.7632689606</v>
      </c>
      <c r="FV14" s="8">
        <f t="shared" si="35"/>
        <v>0</v>
      </c>
      <c r="FW14" s="8">
        <f t="shared" si="36"/>
        <v>0</v>
      </c>
      <c r="FX14" s="8">
        <f t="shared" si="37"/>
        <v>0</v>
      </c>
      <c r="FY14" s="8">
        <f t="shared" si="38"/>
        <v>0</v>
      </c>
      <c r="FZ14" s="8">
        <f t="shared" si="39"/>
        <v>0</v>
      </c>
      <c r="GA14" s="8">
        <f t="shared" si="39"/>
        <v>3870644.537309071</v>
      </c>
      <c r="GB14" s="8">
        <f t="shared" si="39"/>
        <v>0</v>
      </c>
      <c r="GC14" s="8">
        <f t="shared" si="39"/>
        <v>0</v>
      </c>
      <c r="GD14" s="8">
        <f t="shared" si="40"/>
        <v>10098573.300578032</v>
      </c>
    </row>
    <row r="15" spans="1:186" x14ac:dyDescent="0.3">
      <c r="A15" s="13">
        <v>14</v>
      </c>
      <c r="B15" s="13" t="s">
        <v>144</v>
      </c>
      <c r="C15" s="13" t="s">
        <v>145</v>
      </c>
      <c r="D15" s="13" t="str">
        <f t="shared" si="41"/>
        <v>MS/SG</v>
      </c>
      <c r="E15" s="13">
        <f t="shared" si="42"/>
        <v>448792.84969646367</v>
      </c>
      <c r="F15" s="13">
        <f>IF(T15&gt;T14,EI15-EI14,EI14-EI15)</f>
        <v>5.6843418860808015E-14</v>
      </c>
      <c r="G15" s="13">
        <f>IF(T15&gt;T14,CU15-CU14,CU14-CU15)</f>
        <v>-5.8402228429624046</v>
      </c>
      <c r="H15" s="13">
        <f>IF(T15&gt;T14,CN15-CN14,CN14-CN15)</f>
        <v>-3.0875422118143945</v>
      </c>
      <c r="I15" s="13">
        <f>IF(T15&gt;T14,O15-O14,O14-O15)</f>
        <v>-3.7453153014392511E-2</v>
      </c>
      <c r="J15" s="13" t="s">
        <v>116</v>
      </c>
      <c r="L15" s="13">
        <f t="shared" si="43"/>
        <v>10</v>
      </c>
      <c r="M15" s="13">
        <f t="shared" si="0"/>
        <v>-2.0316311458464895</v>
      </c>
      <c r="N15" s="13">
        <f>(2*EG15)/$L15/$CO15</f>
        <v>73.496632715814172</v>
      </c>
      <c r="O15" s="13">
        <f t="shared" si="8"/>
        <v>-2.7642506476481692E-2</v>
      </c>
      <c r="P15" s="13">
        <f t="shared" si="1"/>
        <v>3</v>
      </c>
      <c r="Q15" s="13">
        <f t="shared" si="9"/>
        <v>6.666666666666667</v>
      </c>
      <c r="S15" s="14">
        <f t="shared" si="10"/>
        <v>608693.75749089068</v>
      </c>
      <c r="T15" s="14">
        <f t="shared" si="11"/>
        <v>596474.94977390743</v>
      </c>
      <c r="V15" s="14">
        <v>243837.49329098201</v>
      </c>
      <c r="W15" s="14">
        <v>299643.99368498899</v>
      </c>
      <c r="X15" s="14">
        <v>347295.51310844498</v>
      </c>
      <c r="Y15" s="14">
        <v>414132.49750666402</v>
      </c>
      <c r="Z15" s="14">
        <v>472279.08272722899</v>
      </c>
      <c r="AA15" s="14">
        <v>556078.61113579397</v>
      </c>
      <c r="AB15" s="14">
        <v>615447.54114628898</v>
      </c>
      <c r="AC15" s="14">
        <v>600534.00633984199</v>
      </c>
      <c r="AD15" s="14">
        <v>576305.35510243103</v>
      </c>
      <c r="AE15" s="14">
        <v>544947.44183854305</v>
      </c>
      <c r="AF15" s="14">
        <v>529232.78510993102</v>
      </c>
      <c r="AG15" s="14">
        <v>502455.60171841999</v>
      </c>
      <c r="AH15" s="14">
        <v>493005.55854723998</v>
      </c>
      <c r="AI15" s="14">
        <v>490197.298505418</v>
      </c>
      <c r="AJ15" s="14">
        <v>517366.29504726402</v>
      </c>
      <c r="AK15" s="14">
        <v>539386.02663610596</v>
      </c>
      <c r="AL15" s="14">
        <v>576302.84865030297</v>
      </c>
      <c r="AM15" s="14">
        <v>610933.40753266902</v>
      </c>
      <c r="AN15" s="14">
        <v>625998.07516321004</v>
      </c>
      <c r="AO15" s="14">
        <v>644198.55657742498</v>
      </c>
      <c r="AP15" s="14">
        <v>659483.63147888798</v>
      </c>
      <c r="AR15" s="17">
        <v>3.2888721496165063E-2</v>
      </c>
      <c r="AS15" s="17">
        <v>2.8843039908195367E-2</v>
      </c>
      <c r="AT15" s="17">
        <v>2.3508826348185297E-2</v>
      </c>
      <c r="AU15" s="17">
        <v>1.727558717854083E-2</v>
      </c>
      <c r="AV15" s="17">
        <v>9.7904355801925469E-3</v>
      </c>
      <c r="AW15" s="17">
        <v>1.8178580442596015E-3</v>
      </c>
      <c r="AX15" s="17">
        <v>-3.3449229627590116E-3</v>
      </c>
      <c r="AY15" s="17">
        <v>-1.1079319634054174E-3</v>
      </c>
      <c r="AZ15" s="17">
        <v>4.8934098997499564E-3</v>
      </c>
      <c r="BA15" s="17">
        <v>1.5235248091937992E-2</v>
      </c>
      <c r="BB15" s="17">
        <v>1.6126764918219072E-2</v>
      </c>
      <c r="BC15" s="17">
        <v>2.1540722483505803E-2</v>
      </c>
      <c r="BD15" s="17">
        <v>2.7613026747848268E-2</v>
      </c>
      <c r="BE15" s="17">
        <v>2.6978579088403398E-2</v>
      </c>
      <c r="BF15" s="17">
        <v>2.5079662791946955E-2</v>
      </c>
      <c r="BG15" s="17">
        <v>2.5870185947085789E-2</v>
      </c>
      <c r="BH15" s="17">
        <v>2.6893536703573639E-2</v>
      </c>
      <c r="BI15" s="17">
        <v>2.3026535336124088E-2</v>
      </c>
      <c r="BJ15" s="17">
        <v>1.6693942729572031E-2</v>
      </c>
      <c r="BK15" s="17">
        <v>2.2786008601595631E-2</v>
      </c>
      <c r="BL15" s="17">
        <v>0</v>
      </c>
      <c r="BN15" s="14">
        <f t="shared" si="12"/>
        <v>465769.65368522739</v>
      </c>
      <c r="BO15" s="14">
        <f t="shared" si="13"/>
        <v>514326.53573377634</v>
      </c>
      <c r="BP15" s="14">
        <f t="shared" si="14"/>
        <v>527652.29587241157</v>
      </c>
      <c r="BQ15" s="14">
        <f t="shared" si="15"/>
        <v>554109.87624843803</v>
      </c>
      <c r="BR15" s="14">
        <f t="shared" si="16"/>
        <v>551948.75377841806</v>
      </c>
      <c r="BS15" s="14">
        <f t="shared" si="17"/>
        <v>571436.16933341627</v>
      </c>
      <c r="BT15" s="14">
        <f t="shared" si="18"/>
        <v>587245.10979145591</v>
      </c>
      <c r="BU15" s="14">
        <f t="shared" si="19"/>
        <v>591941.71148048237</v>
      </c>
      <c r="BV15" s="14">
        <f t="shared" si="20"/>
        <v>611072.34940924344</v>
      </c>
      <c r="BW15" s="14">
        <f t="shared" si="21"/>
        <v>643558.72509276215</v>
      </c>
      <c r="BX15" s="14">
        <f t="shared" si="22"/>
        <v>621048.68864106154</v>
      </c>
      <c r="BY15" s="14">
        <f t="shared" si="23"/>
        <v>608693.75749089068</v>
      </c>
      <c r="BZ15" s="14">
        <f t="shared" si="24"/>
        <v>613039.73429460265</v>
      </c>
      <c r="CA15" s="14">
        <f t="shared" si="25"/>
        <v>590609.74592561787</v>
      </c>
      <c r="CB15" s="14">
        <f t="shared" si="26"/>
        <v>600266.12641392113</v>
      </c>
      <c r="CC15" s="14">
        <f t="shared" si="27"/>
        <v>612860.64457841089</v>
      </c>
      <c r="CD15" s="14">
        <f t="shared" si="28"/>
        <v>640844.18502408732</v>
      </c>
      <c r="CE15" s="14">
        <f t="shared" si="29"/>
        <v>654115.69537710189</v>
      </c>
      <c r="CF15" s="14">
        <f t="shared" si="30"/>
        <v>647073.2851731109</v>
      </c>
      <c r="CG15" s="14">
        <f t="shared" si="31"/>
        <v>658877.27042873367</v>
      </c>
      <c r="CH15" s="14">
        <f t="shared" si="32"/>
        <v>659483.63147888798</v>
      </c>
      <c r="CJ15" s="13" t="s">
        <v>144</v>
      </c>
      <c r="CK15" s="13" t="s">
        <v>145</v>
      </c>
      <c r="CL15" s="13">
        <v>14</v>
      </c>
      <c r="CM15" s="13">
        <v>157890.18920249699</v>
      </c>
      <c r="CN15" s="13">
        <v>98.034146814292797</v>
      </c>
      <c r="CO15" s="13">
        <v>1610.5632000000001</v>
      </c>
      <c r="CQ15" s="13" t="s">
        <v>144</v>
      </c>
      <c r="CR15" s="13" t="s">
        <v>145</v>
      </c>
      <c r="CS15" s="14">
        <v>154618.113895243</v>
      </c>
      <c r="CT15" s="13">
        <v>14</v>
      </c>
      <c r="CU15" s="14">
        <v>96.002515668446307</v>
      </c>
      <c r="CV15" s="14">
        <v>1610.5631484619701</v>
      </c>
      <c r="CZ15" s="14"/>
      <c r="DS15" s="13">
        <f>1500000*($CV15/(SUM($CV$12:$CV$15)))</f>
        <v>253421.15360020389</v>
      </c>
      <c r="DV15" s="13">
        <f t="shared" si="2"/>
        <v>385700.46898665879</v>
      </c>
      <c r="EB15" s="13">
        <f t="shared" si="3"/>
        <v>134995.16414533058</v>
      </c>
      <c r="EF15" s="13">
        <f t="shared" si="4"/>
        <v>774116.7867321932</v>
      </c>
      <c r="EG15" s="13">
        <f t="shared" si="33"/>
        <v>591854.8598800319</v>
      </c>
      <c r="EH15" s="13">
        <f t="shared" si="5"/>
        <v>1.4827185852190991E-2</v>
      </c>
      <c r="EI15" s="13">
        <f t="shared" si="6"/>
        <v>367.48317533853424</v>
      </c>
      <c r="FG15" s="13">
        <f>25300000*($CV15/(SUM($CV$12:$CV$15)))</f>
        <v>4274370.1240567723</v>
      </c>
      <c r="FP15" s="13">
        <f t="shared" si="7"/>
        <v>2656511.9801456123</v>
      </c>
      <c r="FU15" s="13">
        <f t="shared" si="34"/>
        <v>4274370.1240567723</v>
      </c>
      <c r="FV15" s="13">
        <f t="shared" si="35"/>
        <v>0</v>
      </c>
      <c r="FW15" s="13">
        <f t="shared" si="36"/>
        <v>0</v>
      </c>
      <c r="FX15" s="13">
        <f t="shared" si="37"/>
        <v>0</v>
      </c>
      <c r="FY15" s="13">
        <f t="shared" si="38"/>
        <v>0</v>
      </c>
      <c r="FZ15" s="13">
        <f t="shared" si="39"/>
        <v>0</v>
      </c>
      <c r="GA15" s="13">
        <f t="shared" si="39"/>
        <v>2656511.9801456123</v>
      </c>
      <c r="GB15" s="13">
        <f t="shared" si="39"/>
        <v>0</v>
      </c>
      <c r="GC15" s="13">
        <f t="shared" si="39"/>
        <v>0</v>
      </c>
      <c r="GD15" s="13">
        <f t="shared" si="40"/>
        <v>6930882.1042023841</v>
      </c>
    </row>
    <row r="16" spans="1:186" ht="15.6" x14ac:dyDescent="0.3">
      <c r="A16" s="8">
        <v>35</v>
      </c>
      <c r="B16" s="13" t="s">
        <v>148</v>
      </c>
      <c r="C16" s="13" t="s">
        <v>149</v>
      </c>
      <c r="J16" s="13" t="s">
        <v>147</v>
      </c>
      <c r="L16" s="13">
        <f>L15</f>
        <v>10</v>
      </c>
      <c r="M16" s="13">
        <f t="shared" si="0"/>
        <v>60.063064507107093</v>
      </c>
      <c r="N16" s="13">
        <f>(2*EG16)/$L16/$CO16</f>
        <v>198.09933688651037</v>
      </c>
      <c r="O16" s="13">
        <f t="shared" si="8"/>
        <v>0.30319669642062846</v>
      </c>
      <c r="P16" s="13">
        <f t="shared" si="1"/>
        <v>4</v>
      </c>
      <c r="Q16" s="13">
        <f t="shared" si="9"/>
        <v>5</v>
      </c>
      <c r="S16" s="14">
        <f t="shared" si="10"/>
        <v>123422.46839650477</v>
      </c>
      <c r="T16" s="14">
        <f t="shared" si="11"/>
        <v>135164.76071555144</v>
      </c>
      <c r="V16" s="14">
        <v>63380.590278389303</v>
      </c>
      <c r="W16" s="14">
        <v>69208.099195501898</v>
      </c>
      <c r="X16" s="14">
        <v>77587.123747423393</v>
      </c>
      <c r="Y16" s="14">
        <v>95126.569128750605</v>
      </c>
      <c r="Z16" s="14">
        <v>117777.944598623</v>
      </c>
      <c r="AA16" s="14">
        <v>151982.33331507101</v>
      </c>
      <c r="AB16" s="14">
        <v>184686.604526768</v>
      </c>
      <c r="AC16" s="14">
        <v>197032.55566328301</v>
      </c>
      <c r="AD16" s="14">
        <v>182939.66345192501</v>
      </c>
      <c r="AE16" s="14">
        <v>159692.533923457</v>
      </c>
      <c r="AF16" s="14">
        <v>136536.52748188499</v>
      </c>
      <c r="AG16" s="14">
        <v>116014.96973895399</v>
      </c>
      <c r="AH16" s="14">
        <v>114342.099481308</v>
      </c>
      <c r="AI16" s="14">
        <v>102438.811753805</v>
      </c>
      <c r="AJ16" s="14">
        <v>98652.303443597804</v>
      </c>
      <c r="AK16" s="14">
        <v>101086.961082462</v>
      </c>
      <c r="AL16" s="14">
        <v>83358.563104228801</v>
      </c>
      <c r="AM16" s="14">
        <v>82228.419185250401</v>
      </c>
      <c r="AN16" s="14">
        <v>93627.299847576898</v>
      </c>
      <c r="AO16" s="14">
        <v>109641.287812572</v>
      </c>
      <c r="AP16" s="14">
        <v>121269.07090730401</v>
      </c>
      <c r="AR16" s="17">
        <v>3.2888721496165063E-2</v>
      </c>
      <c r="AS16" s="17">
        <v>2.8843039908195367E-2</v>
      </c>
      <c r="AT16" s="17">
        <v>2.3508826348185297E-2</v>
      </c>
      <c r="AU16" s="17">
        <v>1.727558717854083E-2</v>
      </c>
      <c r="AV16" s="17">
        <v>9.7904355801925469E-3</v>
      </c>
      <c r="AW16" s="17">
        <v>1.8178580442596015E-3</v>
      </c>
      <c r="AX16" s="17">
        <v>-3.3449229627590116E-3</v>
      </c>
      <c r="AY16" s="17">
        <v>-1.1079319634054174E-3</v>
      </c>
      <c r="AZ16" s="17">
        <v>4.8934098997499564E-3</v>
      </c>
      <c r="BA16" s="17">
        <v>1.5235248091937992E-2</v>
      </c>
      <c r="BB16" s="17">
        <v>1.6126764918219072E-2</v>
      </c>
      <c r="BC16" s="17">
        <v>2.1540722483505803E-2</v>
      </c>
      <c r="BD16" s="17">
        <v>2.7613026747848268E-2</v>
      </c>
      <c r="BE16" s="17">
        <v>2.6978579088403398E-2</v>
      </c>
      <c r="BF16" s="17">
        <v>2.5079662791946955E-2</v>
      </c>
      <c r="BG16" s="17">
        <v>2.5870185947085789E-2</v>
      </c>
      <c r="BH16" s="17">
        <v>2.6893536703573639E-2</v>
      </c>
      <c r="BI16" s="17">
        <v>2.3026535336124088E-2</v>
      </c>
      <c r="BJ16" s="17">
        <v>1.6693942729572031E-2</v>
      </c>
      <c r="BK16" s="17">
        <v>2.2786008601595631E-2</v>
      </c>
      <c r="BL16" s="17">
        <v>0</v>
      </c>
      <c r="BN16" s="14">
        <f t="shared" si="12"/>
        <v>121067.3354040031</v>
      </c>
      <c r="BO16" s="14">
        <f t="shared" si="13"/>
        <v>118792.84302078518</v>
      </c>
      <c r="BP16" s="14">
        <f t="shared" si="14"/>
        <v>117879.50730789146</v>
      </c>
      <c r="BQ16" s="14">
        <f t="shared" si="15"/>
        <v>127279.48607081309</v>
      </c>
      <c r="BR16" s="14">
        <f t="shared" si="16"/>
        <v>137646.13365555173</v>
      </c>
      <c r="BS16" s="14">
        <f t="shared" si="17"/>
        <v>156179.72102636826</v>
      </c>
      <c r="BT16" s="14">
        <f t="shared" si="18"/>
        <v>176223.4765782475</v>
      </c>
      <c r="BU16" s="14">
        <f t="shared" si="19"/>
        <v>194213.46166147877</v>
      </c>
      <c r="BV16" s="14">
        <f t="shared" si="20"/>
        <v>193975.93472966249</v>
      </c>
      <c r="BW16" s="14">
        <f t="shared" si="21"/>
        <v>188589.78985548075</v>
      </c>
      <c r="BX16" s="14">
        <f t="shared" si="22"/>
        <v>160224.07101369454</v>
      </c>
      <c r="BY16" s="14">
        <f t="shared" si="23"/>
        <v>140544.93096321481</v>
      </c>
      <c r="BZ16" s="14">
        <f t="shared" si="24"/>
        <v>142181.46036986605</v>
      </c>
      <c r="CA16" s="14">
        <f t="shared" si="25"/>
        <v>123422.46839650477</v>
      </c>
      <c r="CB16" s="14">
        <f t="shared" si="26"/>
        <v>114459.78722771136</v>
      </c>
      <c r="CC16" s="14">
        <f t="shared" si="27"/>
        <v>114856.92448103805</v>
      </c>
      <c r="CD16" s="14">
        <f t="shared" si="28"/>
        <v>92694.059316932689</v>
      </c>
      <c r="CE16" s="14">
        <f t="shared" si="29"/>
        <v>88040.527710450508</v>
      </c>
      <c r="CF16" s="14">
        <f t="shared" si="30"/>
        <v>96779.410189822258</v>
      </c>
      <c r="CG16" s="14">
        <f t="shared" si="31"/>
        <v>112139.57513975928</v>
      </c>
      <c r="CH16" s="14">
        <f t="shared" si="32"/>
        <v>121269.07090730401</v>
      </c>
      <c r="CJ16" s="13" t="s">
        <v>148</v>
      </c>
      <c r="CK16" s="13" t="s">
        <v>149</v>
      </c>
      <c r="CL16" s="13">
        <v>35</v>
      </c>
      <c r="CM16" s="13">
        <v>310756.863104455</v>
      </c>
      <c r="CN16" s="13">
        <v>56.7990815666979</v>
      </c>
      <c r="CO16" s="13">
        <v>5471.16</v>
      </c>
      <c r="CQ16" s="13" t="s">
        <v>148</v>
      </c>
      <c r="CR16" s="13" t="s">
        <v>149</v>
      </c>
      <c r="CS16" s="14">
        <v>639371.47865327401</v>
      </c>
      <c r="CT16" s="13">
        <v>35</v>
      </c>
      <c r="CU16" s="14">
        <v>116.86214607380499</v>
      </c>
      <c r="CV16" s="14">
        <v>5471.15982492288</v>
      </c>
      <c r="CZ16" s="14"/>
      <c r="DB16" s="13">
        <v>4000000</v>
      </c>
      <c r="DM16" s="13">
        <v>1003000</v>
      </c>
      <c r="DO16" s="13">
        <v>1325000</v>
      </c>
      <c r="DP16" s="13">
        <v>760000</v>
      </c>
      <c r="EE16" s="15">
        <v>9500</v>
      </c>
      <c r="EF16" s="13">
        <f t="shared" ref="EF16:EF23" si="44">SUM(CX16:EB16)</f>
        <v>7088000</v>
      </c>
      <c r="EG16" s="13">
        <f t="shared" si="33"/>
        <v>5419165.8399999999</v>
      </c>
      <c r="EH16" s="13">
        <f t="shared" si="5"/>
        <v>0.13576128966789547</v>
      </c>
      <c r="EI16" s="13">
        <f t="shared" si="6"/>
        <v>990.49671612844668</v>
      </c>
      <c r="EO16" s="13">
        <v>27384615</v>
      </c>
      <c r="EZ16" s="13">
        <v>7658450</v>
      </c>
      <c r="FC16" s="13">
        <v>21015965</v>
      </c>
      <c r="FD16" s="13">
        <v>11273117</v>
      </c>
      <c r="FS16" s="13">
        <v>700000</v>
      </c>
      <c r="FU16" s="13">
        <f t="shared" ref="FU16:FU23" si="45">FG16+FH16</f>
        <v>0</v>
      </c>
      <c r="FV16" s="13">
        <f t="shared" ref="FV16:FV23" si="46">FI16</f>
        <v>0</v>
      </c>
      <c r="FW16" s="13">
        <f t="shared" ref="FW16:FW23" si="47">FJ16+FK16</f>
        <v>0</v>
      </c>
      <c r="FX16" s="13">
        <f t="shared" ref="FX16:FX23" si="48">FL16</f>
        <v>0</v>
      </c>
      <c r="FY16" s="13">
        <f t="shared" ref="FY16:FY23" si="49">FM16+FN16</f>
        <v>0</v>
      </c>
      <c r="FZ16" s="13">
        <f t="shared" ref="FZ16:GC23" si="50">FO16</f>
        <v>0</v>
      </c>
      <c r="GA16" s="13">
        <f t="shared" si="50"/>
        <v>0</v>
      </c>
      <c r="GB16" s="13">
        <f t="shared" si="50"/>
        <v>0</v>
      </c>
      <c r="GC16" s="13">
        <f t="shared" si="50"/>
        <v>0</v>
      </c>
      <c r="GD16" s="13">
        <f t="shared" ref="GD16:GD23" si="51">SUM(EK16:FP16)</f>
        <v>67332147</v>
      </c>
    </row>
    <row r="17" spans="1:186" s="8" customFormat="1" x14ac:dyDescent="0.3">
      <c r="A17" s="8">
        <v>36</v>
      </c>
      <c r="B17" s="8" t="s">
        <v>150</v>
      </c>
      <c r="C17" s="8" t="s">
        <v>151</v>
      </c>
      <c r="D17" s="13" t="str">
        <f t="shared" si="41"/>
        <v>VC/AC</v>
      </c>
      <c r="E17" s="13">
        <f t="shared" ref="E17:E19" si="52">IF(T17&gt;T16,T17-T16,T16-T17)</f>
        <v>161398.95962404634</v>
      </c>
      <c r="F17" s="13">
        <f>IF(T17&gt;T16,EI17-EI16,EI16-EI17)</f>
        <v>109.94762119681377</v>
      </c>
      <c r="G17" s="13">
        <f>IF(T17&gt;T16,CU17-CU16,CU16-CU17)</f>
        <v>-6.7498718711369889</v>
      </c>
      <c r="H17" s="13">
        <f>IF(T17&gt;T16,CN17-CN16,CN16-CN17)</f>
        <v>-3.5884088234720011</v>
      </c>
      <c r="I17" s="13">
        <f>IF(T17&gt;T16,O17-O16,O16-O17)</f>
        <v>-4.4657480259098659E-2</v>
      </c>
      <c r="J17" s="8" t="s">
        <v>147</v>
      </c>
      <c r="L17" s="8">
        <f t="shared" si="43"/>
        <v>10</v>
      </c>
      <c r="M17" s="8">
        <f t="shared" si="0"/>
        <v>56.901601459442105</v>
      </c>
      <c r="N17" s="8">
        <f>(2*EG17)/$L17/$CO17</f>
        <v>220.08886042220843</v>
      </c>
      <c r="O17" s="8">
        <f t="shared" si="8"/>
        <v>0.25853921616152981</v>
      </c>
      <c r="P17" s="8">
        <f t="shared" si="1"/>
        <v>4</v>
      </c>
      <c r="Q17" s="8">
        <f t="shared" si="9"/>
        <v>5</v>
      </c>
      <c r="S17" s="10">
        <f t="shared" si="10"/>
        <v>296941.25276967546</v>
      </c>
      <c r="T17" s="10">
        <f t="shared" si="11"/>
        <v>296563.72033959778</v>
      </c>
      <c r="U17" s="11"/>
      <c r="V17" s="10">
        <v>135723.68003704801</v>
      </c>
      <c r="W17" s="10">
        <v>144333.220898106</v>
      </c>
      <c r="X17" s="10">
        <v>161767.27120270199</v>
      </c>
      <c r="Y17" s="10">
        <v>202386.270300381</v>
      </c>
      <c r="Z17" s="10">
        <v>254445.00566241401</v>
      </c>
      <c r="AA17" s="10">
        <v>310430.41675882897</v>
      </c>
      <c r="AB17" s="10">
        <v>365319.070546659</v>
      </c>
      <c r="AC17" s="10">
        <v>367221.10987674602</v>
      </c>
      <c r="AD17" s="10">
        <v>334057.12656638899</v>
      </c>
      <c r="AE17" s="10">
        <v>290961.803465417</v>
      </c>
      <c r="AF17" s="10">
        <v>280918.09486654802</v>
      </c>
      <c r="AG17" s="10">
        <v>261647.122836469</v>
      </c>
      <c r="AH17" s="10">
        <v>265378.31018312002</v>
      </c>
      <c r="AI17" s="10">
        <v>257493.72129991901</v>
      </c>
      <c r="AJ17" s="10">
        <v>255932.142481424</v>
      </c>
      <c r="AK17" s="10">
        <v>234645.795234283</v>
      </c>
      <c r="AL17" s="10">
        <v>231572.90981934499</v>
      </c>
      <c r="AM17" s="10">
        <v>228186.606960915</v>
      </c>
      <c r="AN17" s="10">
        <v>248018.19644273099</v>
      </c>
      <c r="AO17" s="10">
        <v>269215.10172620701</v>
      </c>
      <c r="AP17" s="10">
        <v>295588.53189186001</v>
      </c>
      <c r="AQ17" s="11"/>
      <c r="AR17" s="16">
        <v>3.2888721496165063E-2</v>
      </c>
      <c r="AS17" s="16">
        <v>2.8843039908195367E-2</v>
      </c>
      <c r="AT17" s="16">
        <v>2.3508826348185297E-2</v>
      </c>
      <c r="AU17" s="16">
        <v>1.727558717854083E-2</v>
      </c>
      <c r="AV17" s="16">
        <v>9.7904355801925469E-3</v>
      </c>
      <c r="AW17" s="16">
        <v>1.8178580442596015E-3</v>
      </c>
      <c r="AX17" s="16">
        <v>-3.3449229627590116E-3</v>
      </c>
      <c r="AY17" s="16">
        <v>-1.1079319634054174E-3</v>
      </c>
      <c r="AZ17" s="16">
        <v>4.8934098997499564E-3</v>
      </c>
      <c r="BA17" s="16">
        <v>1.5235248091937992E-2</v>
      </c>
      <c r="BB17" s="16">
        <v>1.6126764918219072E-2</v>
      </c>
      <c r="BC17" s="16">
        <v>2.1540722483505803E-2</v>
      </c>
      <c r="BD17" s="16">
        <v>2.7613026747848268E-2</v>
      </c>
      <c r="BE17" s="16">
        <v>2.6978579088403398E-2</v>
      </c>
      <c r="BF17" s="16">
        <v>2.5079662791946955E-2</v>
      </c>
      <c r="BG17" s="16">
        <v>2.5870185947085789E-2</v>
      </c>
      <c r="BH17" s="16">
        <v>2.6893536703573639E-2</v>
      </c>
      <c r="BI17" s="16">
        <v>2.3026535336124088E-2</v>
      </c>
      <c r="BJ17" s="16">
        <v>1.6693942729572031E-2</v>
      </c>
      <c r="BK17" s="16">
        <v>2.2786008601595631E-2</v>
      </c>
      <c r="BL17" s="16">
        <v>0</v>
      </c>
      <c r="BM17" s="11"/>
      <c r="BN17" s="10">
        <f t="shared" si="12"/>
        <v>259254.51658208304</v>
      </c>
      <c r="BO17" s="10">
        <f t="shared" si="13"/>
        <v>247742.01072043582</v>
      </c>
      <c r="BP17" s="10">
        <f t="shared" si="14"/>
        <v>245775.91366827587</v>
      </c>
      <c r="BQ17" s="10">
        <f t="shared" si="15"/>
        <v>270793.12023496168</v>
      </c>
      <c r="BR17" s="10">
        <f t="shared" si="16"/>
        <v>297367.82533226284</v>
      </c>
      <c r="BS17" s="10">
        <f t="shared" si="17"/>
        <v>319003.7607001618</v>
      </c>
      <c r="BT17" s="10">
        <f t="shared" si="18"/>
        <v>348578.59256779804</v>
      </c>
      <c r="BU17" s="10">
        <f t="shared" si="19"/>
        <v>361966.99933290994</v>
      </c>
      <c r="BV17" s="10">
        <f t="shared" si="20"/>
        <v>354209.91903075797</v>
      </c>
      <c r="BW17" s="10">
        <f t="shared" si="21"/>
        <v>343612.96688933403</v>
      </c>
      <c r="BX17" s="10">
        <f t="shared" si="22"/>
        <v>329654.2076397927</v>
      </c>
      <c r="BY17" s="10">
        <f t="shared" si="23"/>
        <v>316969.24024993385</v>
      </c>
      <c r="BZ17" s="10">
        <f t="shared" si="24"/>
        <v>329991.1044443564</v>
      </c>
      <c r="CA17" s="10">
        <f t="shared" si="25"/>
        <v>310238.96251175721</v>
      </c>
      <c r="CB17" s="10">
        <f t="shared" si="26"/>
        <v>296941.25276967546</v>
      </c>
      <c r="CC17" s="10">
        <f t="shared" si="27"/>
        <v>266609.00767441257</v>
      </c>
      <c r="CD17" s="10">
        <f t="shared" si="28"/>
        <v>257507.23428556943</v>
      </c>
      <c r="CE17" s="10">
        <f t="shared" si="29"/>
        <v>244315.40205140741</v>
      </c>
      <c r="CF17" s="10">
        <f t="shared" si="30"/>
        <v>256368.11920398645</v>
      </c>
      <c r="CG17" s="10">
        <f t="shared" si="31"/>
        <v>275349.43934981979</v>
      </c>
      <c r="CH17" s="10">
        <f t="shared" si="32"/>
        <v>295588.53189186001</v>
      </c>
      <c r="CI17" s="12"/>
      <c r="CJ17" s="13" t="s">
        <v>150</v>
      </c>
      <c r="CK17" s="13" t="s">
        <v>151</v>
      </c>
      <c r="CL17" s="13">
        <v>36</v>
      </c>
      <c r="CM17" s="13">
        <v>141961.52004534</v>
      </c>
      <c r="CN17" s="13">
        <v>53.210672743225899</v>
      </c>
      <c r="CO17" s="13">
        <v>2667.9144000000001</v>
      </c>
      <c r="CP17" s="11"/>
      <c r="CQ17" s="13" t="s">
        <v>150</v>
      </c>
      <c r="CR17" s="13" t="s">
        <v>151</v>
      </c>
      <c r="CS17" s="14">
        <v>293770.11256140401</v>
      </c>
      <c r="CT17" s="13">
        <v>36</v>
      </c>
      <c r="CU17" s="14">
        <v>110.112274202668</v>
      </c>
      <c r="CV17" s="14">
        <v>2667.9143146267402</v>
      </c>
      <c r="CW17" s="11"/>
      <c r="CZ17" s="10"/>
      <c r="DB17" s="8">
        <v>3000000</v>
      </c>
      <c r="DM17" s="8">
        <v>175000</v>
      </c>
      <c r="DO17" s="8">
        <v>325000</v>
      </c>
      <c r="DS17" s="8">
        <v>340000</v>
      </c>
      <c r="EF17" s="8">
        <f t="shared" si="44"/>
        <v>3840000</v>
      </c>
      <c r="EG17" s="8">
        <f t="shared" si="33"/>
        <v>2935891.1999999997</v>
      </c>
      <c r="EH17" s="8">
        <f t="shared" si="5"/>
        <v>7.3550134357324867E-2</v>
      </c>
      <c r="EI17" s="8">
        <f t="shared" si="6"/>
        <v>1100.4443373252604</v>
      </c>
      <c r="EJ17" s="12"/>
      <c r="EO17" s="8">
        <v>9538462</v>
      </c>
      <c r="FA17" s="8">
        <v>2667550</v>
      </c>
      <c r="FC17" s="8">
        <v>6830187</v>
      </c>
      <c r="FG17" s="8">
        <v>6061143</v>
      </c>
      <c r="FT17" s="12"/>
      <c r="FU17" s="8">
        <f t="shared" si="45"/>
        <v>6061143</v>
      </c>
      <c r="FV17" s="8">
        <f t="shared" si="46"/>
        <v>0</v>
      </c>
      <c r="FW17" s="8">
        <f t="shared" si="47"/>
        <v>0</v>
      </c>
      <c r="FX17" s="8">
        <f t="shared" si="48"/>
        <v>0</v>
      </c>
      <c r="FY17" s="8">
        <f t="shared" si="49"/>
        <v>0</v>
      </c>
      <c r="FZ17" s="8">
        <f t="shared" si="50"/>
        <v>0</v>
      </c>
      <c r="GA17" s="8">
        <f t="shared" si="50"/>
        <v>0</v>
      </c>
      <c r="GB17" s="8">
        <f t="shared" si="50"/>
        <v>0</v>
      </c>
      <c r="GC17" s="8">
        <f t="shared" si="50"/>
        <v>0</v>
      </c>
      <c r="GD17" s="8">
        <f t="shared" si="51"/>
        <v>25097342</v>
      </c>
    </row>
    <row r="18" spans="1:186" x14ac:dyDescent="0.3">
      <c r="A18" s="8">
        <v>37</v>
      </c>
      <c r="B18" s="13" t="s">
        <v>152</v>
      </c>
      <c r="C18" s="13" t="s">
        <v>153</v>
      </c>
      <c r="D18" s="13" t="str">
        <f t="shared" si="41"/>
        <v>MC/VC</v>
      </c>
      <c r="E18" s="13">
        <f t="shared" si="52"/>
        <v>228690.73029010755</v>
      </c>
      <c r="F18" s="13">
        <f>IF(T18&gt;T17,EI18-EI17,EI17-EI18)</f>
        <v>-1100.4443373252604</v>
      </c>
      <c r="G18" s="13">
        <f>IF(T18&gt;T17,CU18-CU17,CU17-CU18)</f>
        <v>32.264611188605983</v>
      </c>
      <c r="H18" s="13">
        <f>IF(T18&gt;T17,CN18-CN17,CN17-CN18)</f>
        <v>23.972979238222607</v>
      </c>
      <c r="I18" s="13">
        <f>IF(T18&gt;T17,O18-O17,O17-O18)</f>
        <v>0.74146078383847014</v>
      </c>
      <c r="J18" s="13" t="s">
        <v>147</v>
      </c>
      <c r="L18" s="13">
        <f t="shared" si="43"/>
        <v>10</v>
      </c>
      <c r="M18" s="13">
        <f t="shared" si="0"/>
        <v>65.193233409825481</v>
      </c>
      <c r="N18" s="13">
        <f>(2*EG18)/$L18/$CO18</f>
        <v>0</v>
      </c>
      <c r="O18" s="13">
        <f t="shared" si="8"/>
        <v>1</v>
      </c>
      <c r="P18" s="13">
        <f t="shared" si="1"/>
        <v>0</v>
      </c>
      <c r="Q18" s="13" t="str">
        <f t="shared" si="9"/>
        <v>NaN</v>
      </c>
      <c r="S18" s="14">
        <f t="shared" si="10"/>
        <v>523425.62298006431</v>
      </c>
      <c r="T18" s="14">
        <f t="shared" si="11"/>
        <v>525254.45062970533</v>
      </c>
      <c r="V18" s="14">
        <v>219097.65542683899</v>
      </c>
      <c r="W18" s="14">
        <v>245626.157860309</v>
      </c>
      <c r="X18" s="14">
        <v>277697.36034732702</v>
      </c>
      <c r="Y18" s="14">
        <v>342565.76237481699</v>
      </c>
      <c r="Z18" s="14">
        <v>412659.24157814198</v>
      </c>
      <c r="AA18" s="14">
        <v>496071.42425043898</v>
      </c>
      <c r="AB18" s="14">
        <v>590125.38680179499</v>
      </c>
      <c r="AC18" s="14">
        <v>593702.37431705301</v>
      </c>
      <c r="AD18" s="14">
        <v>560427.99964869197</v>
      </c>
      <c r="AE18" s="14">
        <v>508193.54855628201</v>
      </c>
      <c r="AF18" s="14">
        <v>493655.691699669</v>
      </c>
      <c r="AG18" s="14">
        <v>460515.856943405</v>
      </c>
      <c r="AH18" s="14">
        <v>484393.58194234897</v>
      </c>
      <c r="AI18" s="14">
        <v>486495.55412448599</v>
      </c>
      <c r="AJ18" s="14">
        <v>479509.89635458001</v>
      </c>
      <c r="AK18" s="14">
        <v>469535.17522840301</v>
      </c>
      <c r="AL18" s="14">
        <v>470709.86150655698</v>
      </c>
      <c r="AM18" s="14">
        <v>477486.99497398903</v>
      </c>
      <c r="AN18" s="14">
        <v>484655.92674626998</v>
      </c>
      <c r="AO18" s="14">
        <v>499075.69404417201</v>
      </c>
      <c r="AP18" s="14">
        <v>513646.29099542397</v>
      </c>
      <c r="AR18" s="17">
        <v>3.2888721496165063E-2</v>
      </c>
      <c r="AS18" s="17">
        <v>2.8843039908195367E-2</v>
      </c>
      <c r="AT18" s="17">
        <v>2.3508826348185297E-2</v>
      </c>
      <c r="AU18" s="17">
        <v>1.727558717854083E-2</v>
      </c>
      <c r="AV18" s="17">
        <v>9.7904355801925469E-3</v>
      </c>
      <c r="AW18" s="17">
        <v>1.8178580442596015E-3</v>
      </c>
      <c r="AX18" s="17">
        <v>-3.3449229627590116E-3</v>
      </c>
      <c r="AY18" s="17">
        <v>-1.1079319634054174E-3</v>
      </c>
      <c r="AZ18" s="17">
        <v>4.8934098997499564E-3</v>
      </c>
      <c r="BA18" s="17">
        <v>1.5235248091937992E-2</v>
      </c>
      <c r="BB18" s="17">
        <v>1.6126764918219072E-2</v>
      </c>
      <c r="BC18" s="17">
        <v>2.1540722483505803E-2</v>
      </c>
      <c r="BD18" s="17">
        <v>2.7613026747848268E-2</v>
      </c>
      <c r="BE18" s="17">
        <v>2.6978579088403398E-2</v>
      </c>
      <c r="BF18" s="17">
        <v>2.5079662791946955E-2</v>
      </c>
      <c r="BG18" s="17">
        <v>2.5870185947085789E-2</v>
      </c>
      <c r="BH18" s="17">
        <v>2.6893536703573639E-2</v>
      </c>
      <c r="BI18" s="17">
        <v>2.3026535336124088E-2</v>
      </c>
      <c r="BJ18" s="17">
        <v>1.6693942729572031E-2</v>
      </c>
      <c r="BK18" s="17">
        <v>2.2786008601595631E-2</v>
      </c>
      <c r="BL18" s="17">
        <v>0</v>
      </c>
      <c r="BN18" s="14">
        <f t="shared" si="12"/>
        <v>418512.50074009114</v>
      </c>
      <c r="BO18" s="14">
        <f t="shared" si="13"/>
        <v>421607.15222178388</v>
      </c>
      <c r="BP18" s="14">
        <f t="shared" si="14"/>
        <v>421910.57532960811</v>
      </c>
      <c r="BQ18" s="14">
        <f t="shared" si="15"/>
        <v>458353.48189116013</v>
      </c>
      <c r="BR18" s="14">
        <f t="shared" si="16"/>
        <v>482271.52642233856</v>
      </c>
      <c r="BS18" s="14">
        <f t="shared" si="17"/>
        <v>509771.72779662785</v>
      </c>
      <c r="BT18" s="14">
        <f t="shared" si="18"/>
        <v>563083.32456360012</v>
      </c>
      <c r="BU18" s="14">
        <f t="shared" si="19"/>
        <v>585207.82479116449</v>
      </c>
      <c r="BV18" s="14">
        <f t="shared" si="20"/>
        <v>594237.15464032174</v>
      </c>
      <c r="BW18" s="14">
        <f t="shared" si="21"/>
        <v>600154.00954234879</v>
      </c>
      <c r="BX18" s="14">
        <f t="shared" si="22"/>
        <v>579299.37183803273</v>
      </c>
      <c r="BY18" s="14">
        <f t="shared" si="23"/>
        <v>557886.36127915699</v>
      </c>
      <c r="BZ18" s="14">
        <f t="shared" si="24"/>
        <v>602330.96284551197</v>
      </c>
      <c r="CA18" s="14">
        <f t="shared" si="25"/>
        <v>586149.73295743205</v>
      </c>
      <c r="CB18" s="14">
        <f t="shared" si="26"/>
        <v>556343.83379305655</v>
      </c>
      <c r="CC18" s="14">
        <f t="shared" si="27"/>
        <v>533494.78097780189</v>
      </c>
      <c r="CD18" s="14">
        <f t="shared" si="28"/>
        <v>523425.62298006431</v>
      </c>
      <c r="CE18" s="14">
        <f t="shared" si="29"/>
        <v>511236.95954412513</v>
      </c>
      <c r="CF18" s="14">
        <f t="shared" si="30"/>
        <v>500972.63097264909</v>
      </c>
      <c r="CG18" s="14">
        <f t="shared" si="31"/>
        <v>510447.63710150984</v>
      </c>
      <c r="CH18" s="14">
        <f t="shared" si="32"/>
        <v>513646.29099542397</v>
      </c>
      <c r="CJ18" s="13" t="s">
        <v>152</v>
      </c>
      <c r="CK18" s="13" t="s">
        <v>153</v>
      </c>
      <c r="CL18" s="13">
        <v>37</v>
      </c>
      <c r="CM18" s="13">
        <v>204390.21405283801</v>
      </c>
      <c r="CN18" s="13">
        <v>77.183651981448506</v>
      </c>
      <c r="CO18" s="13">
        <v>2648.1024000000002</v>
      </c>
      <c r="CQ18" s="13" t="s">
        <v>152</v>
      </c>
      <c r="CR18" s="13" t="s">
        <v>153</v>
      </c>
      <c r="CS18" s="14">
        <v>377028.55984424398</v>
      </c>
      <c r="CT18" s="13">
        <v>37</v>
      </c>
      <c r="CU18" s="14">
        <v>142.37688539127399</v>
      </c>
      <c r="CV18" s="14">
        <v>2648.1023152607199</v>
      </c>
      <c r="CZ18" s="14"/>
      <c r="EF18" s="13">
        <f t="shared" si="44"/>
        <v>0</v>
      </c>
      <c r="EG18" s="13">
        <f t="shared" si="33"/>
        <v>0</v>
      </c>
      <c r="EH18" s="13">
        <f t="shared" si="5"/>
        <v>0</v>
      </c>
      <c r="EI18" s="13">
        <f t="shared" si="6"/>
        <v>0</v>
      </c>
      <c r="FU18" s="13">
        <f t="shared" si="45"/>
        <v>0</v>
      </c>
      <c r="FV18" s="13">
        <f t="shared" si="46"/>
        <v>0</v>
      </c>
      <c r="FW18" s="13">
        <f t="shared" si="47"/>
        <v>0</v>
      </c>
      <c r="FX18" s="13">
        <f t="shared" si="48"/>
        <v>0</v>
      </c>
      <c r="FY18" s="13">
        <f t="shared" si="49"/>
        <v>0</v>
      </c>
      <c r="FZ18" s="13">
        <f t="shared" si="50"/>
        <v>0</v>
      </c>
      <c r="GA18" s="13">
        <f t="shared" si="50"/>
        <v>0</v>
      </c>
      <c r="GB18" s="13">
        <f t="shared" si="50"/>
        <v>0</v>
      </c>
      <c r="GC18" s="13">
        <f t="shared" si="50"/>
        <v>0</v>
      </c>
      <c r="GD18" s="13">
        <f t="shared" si="51"/>
        <v>0</v>
      </c>
    </row>
    <row r="19" spans="1:186" s="8" customFormat="1" x14ac:dyDescent="0.3">
      <c r="A19" s="8">
        <v>38</v>
      </c>
      <c r="B19" s="8" t="s">
        <v>154</v>
      </c>
      <c r="C19" s="8" t="s">
        <v>155</v>
      </c>
      <c r="D19" s="13" t="str">
        <f t="shared" si="41"/>
        <v>LP/MC</v>
      </c>
      <c r="E19" s="13">
        <f t="shared" si="52"/>
        <v>231552.2852721879</v>
      </c>
      <c r="F19" s="13">
        <f>IF(T19&gt;T18,EI19-EI18,EI18-EI19)</f>
        <v>0</v>
      </c>
      <c r="G19" s="13">
        <f>IF(T19&gt;T18,CU19-CU18,CU18-CU19)</f>
        <v>-14.393422212933984</v>
      </c>
      <c r="H19" s="13">
        <f>IF(T19&gt;T18,CN19-CN18,CN18-CN19)</f>
        <v>-4.9054336553613069</v>
      </c>
      <c r="I19" s="13">
        <f>IF(T19&gt;T18,O19-O18,O18-O19)</f>
        <v>0</v>
      </c>
      <c r="J19" s="8" t="s">
        <v>147</v>
      </c>
      <c r="L19" s="8">
        <f t="shared" si="43"/>
        <v>10</v>
      </c>
      <c r="M19" s="8">
        <f t="shared" si="0"/>
        <v>55.705244852252804</v>
      </c>
      <c r="N19" s="8">
        <f>(2*EG19)/$L19/$CO19</f>
        <v>0</v>
      </c>
      <c r="O19" s="8">
        <f t="shared" si="8"/>
        <v>1</v>
      </c>
      <c r="P19" s="8">
        <f t="shared" si="1"/>
        <v>0</v>
      </c>
      <c r="Q19" s="8" t="str">
        <f t="shared" si="9"/>
        <v>NaN</v>
      </c>
      <c r="S19" s="10">
        <f t="shared" si="10"/>
        <v>761029.6282091547</v>
      </c>
      <c r="T19" s="10">
        <f t="shared" si="11"/>
        <v>756806.73590189323</v>
      </c>
      <c r="U19" s="11"/>
      <c r="V19" s="10">
        <v>316582.25713882799</v>
      </c>
      <c r="W19" s="10">
        <v>351255.85489291197</v>
      </c>
      <c r="X19" s="10">
        <v>405643.797991534</v>
      </c>
      <c r="Y19" s="10">
        <v>486955.51642399398</v>
      </c>
      <c r="Z19" s="10">
        <v>587713.79713291302</v>
      </c>
      <c r="AA19" s="10">
        <v>721707.96379830199</v>
      </c>
      <c r="AB19" s="10">
        <v>831531.13352915796</v>
      </c>
      <c r="AC19" s="10">
        <v>869217.733985545</v>
      </c>
      <c r="AD19" s="10">
        <v>802139.13305354898</v>
      </c>
      <c r="AE19" s="10">
        <v>729523.67063014896</v>
      </c>
      <c r="AF19" s="10">
        <v>706138.25535191596</v>
      </c>
      <c r="AG19" s="10">
        <v>662464.297172472</v>
      </c>
      <c r="AH19" s="10">
        <v>675861.59786618105</v>
      </c>
      <c r="AI19" s="10">
        <v>694342.98855810403</v>
      </c>
      <c r="AJ19" s="10">
        <v>709176.207038605</v>
      </c>
      <c r="AK19" s="10">
        <v>678189.67960081098</v>
      </c>
      <c r="AL19" s="10">
        <v>684384.05605214601</v>
      </c>
      <c r="AM19" s="10">
        <v>690327.77154105599</v>
      </c>
      <c r="AN19" s="10">
        <v>712274.62865708803</v>
      </c>
      <c r="AO19" s="10">
        <v>740724.78586360998</v>
      </c>
      <c r="AP19" s="10">
        <v>731122.38469622203</v>
      </c>
      <c r="AQ19" s="11"/>
      <c r="AR19" s="16">
        <v>3.2888721496165063E-2</v>
      </c>
      <c r="AS19" s="16">
        <v>2.8843039908195367E-2</v>
      </c>
      <c r="AT19" s="16">
        <v>2.3508826348185297E-2</v>
      </c>
      <c r="AU19" s="16">
        <v>1.727558717854083E-2</v>
      </c>
      <c r="AV19" s="16">
        <v>9.7904355801925469E-3</v>
      </c>
      <c r="AW19" s="16">
        <v>1.8178580442596015E-3</v>
      </c>
      <c r="AX19" s="16">
        <v>-3.3449229627590116E-3</v>
      </c>
      <c r="AY19" s="16">
        <v>-1.1079319634054174E-3</v>
      </c>
      <c r="AZ19" s="16">
        <v>4.8934098997499564E-3</v>
      </c>
      <c r="BA19" s="16">
        <v>1.5235248091937992E-2</v>
      </c>
      <c r="BB19" s="16">
        <v>1.6126764918219072E-2</v>
      </c>
      <c r="BC19" s="16">
        <v>2.1540722483505803E-2</v>
      </c>
      <c r="BD19" s="16">
        <v>2.7613026747848268E-2</v>
      </c>
      <c r="BE19" s="16">
        <v>2.6978579088403398E-2</v>
      </c>
      <c r="BF19" s="16">
        <v>2.5079662791946955E-2</v>
      </c>
      <c r="BG19" s="16">
        <v>2.5870185947085789E-2</v>
      </c>
      <c r="BH19" s="16">
        <v>2.6893536703573639E-2</v>
      </c>
      <c r="BI19" s="16">
        <v>2.3026535336124088E-2</v>
      </c>
      <c r="BJ19" s="16">
        <v>1.6693942729572031E-2</v>
      </c>
      <c r="BK19" s="16">
        <v>2.2786008601595631E-2</v>
      </c>
      <c r="BL19" s="16">
        <v>0</v>
      </c>
      <c r="BM19" s="11"/>
      <c r="BN19" s="10">
        <f t="shared" si="12"/>
        <v>604724.09833411337</v>
      </c>
      <c r="BO19" s="10">
        <f t="shared" si="13"/>
        <v>602916.16321601521</v>
      </c>
      <c r="BP19" s="10">
        <f t="shared" si="14"/>
        <v>616301.89057410252</v>
      </c>
      <c r="BQ19" s="10">
        <f t="shared" si="15"/>
        <v>651547.18011438253</v>
      </c>
      <c r="BR19" s="10">
        <f t="shared" si="16"/>
        <v>686856.37321195495</v>
      </c>
      <c r="BS19" s="10">
        <f t="shared" si="17"/>
        <v>741639.80766671011</v>
      </c>
      <c r="BT19" s="10">
        <f t="shared" si="18"/>
        <v>793426.83032715949</v>
      </c>
      <c r="BU19" s="10">
        <f t="shared" si="19"/>
        <v>856781.17753987759</v>
      </c>
      <c r="BV19" s="10">
        <f t="shared" si="20"/>
        <v>850530.08834354009</v>
      </c>
      <c r="BW19" s="10">
        <f t="shared" si="21"/>
        <v>861535.05338379333</v>
      </c>
      <c r="BX19" s="10">
        <f t="shared" si="22"/>
        <v>828645.25748249074</v>
      </c>
      <c r="BY19" s="10">
        <f t="shared" si="23"/>
        <v>802534.3550164093</v>
      </c>
      <c r="BZ19" s="10">
        <f t="shared" si="24"/>
        <v>840416.51699979359</v>
      </c>
      <c r="CA19" s="10">
        <f t="shared" si="25"/>
        <v>836572.81936857407</v>
      </c>
      <c r="CB19" s="10">
        <f t="shared" si="26"/>
        <v>822810.56732752756</v>
      </c>
      <c r="CC19" s="10">
        <f t="shared" si="27"/>
        <v>770571.99048833631</v>
      </c>
      <c r="CD19" s="10">
        <f t="shared" si="28"/>
        <v>761029.6282091547</v>
      </c>
      <c r="CE19" s="10">
        <f t="shared" si="29"/>
        <v>739121.84986471967</v>
      </c>
      <c r="CF19" s="10">
        <f t="shared" si="30"/>
        <v>736254.47456916771</v>
      </c>
      <c r="CG19" s="10">
        <f t="shared" si="31"/>
        <v>757602.94720571325</v>
      </c>
      <c r="CH19" s="10">
        <f t="shared" si="32"/>
        <v>731122.38469622203</v>
      </c>
      <c r="CI19" s="12"/>
      <c r="CJ19" s="13" t="s">
        <v>154</v>
      </c>
      <c r="CK19" s="13" t="s">
        <v>155</v>
      </c>
      <c r="CL19" s="13">
        <v>38</v>
      </c>
      <c r="CM19" s="13">
        <v>164324.76065465799</v>
      </c>
      <c r="CN19" s="13">
        <v>72.278218326087199</v>
      </c>
      <c r="CO19" s="13">
        <v>2273.5032000000001</v>
      </c>
      <c r="CP19" s="11"/>
      <c r="CQ19" s="13" t="s">
        <v>154</v>
      </c>
      <c r="CR19" s="13" t="s">
        <v>155</v>
      </c>
      <c r="CS19" s="14">
        <v>290970.80377197202</v>
      </c>
      <c r="CT19" s="13">
        <v>38</v>
      </c>
      <c r="CU19" s="14">
        <v>127.98346317834</v>
      </c>
      <c r="CV19" s="14">
        <v>2273.5031272479</v>
      </c>
      <c r="CW19" s="11"/>
      <c r="CZ19" s="10"/>
      <c r="EF19" s="8">
        <f t="shared" si="44"/>
        <v>0</v>
      </c>
      <c r="EG19" s="8">
        <f t="shared" si="33"/>
        <v>0</v>
      </c>
      <c r="EH19" s="8">
        <f t="shared" si="5"/>
        <v>0</v>
      </c>
      <c r="EI19" s="8">
        <f t="shared" si="6"/>
        <v>0</v>
      </c>
      <c r="EJ19" s="12"/>
      <c r="FT19" s="12"/>
      <c r="FU19" s="8">
        <f t="shared" si="45"/>
        <v>0</v>
      </c>
      <c r="FV19" s="8">
        <f t="shared" si="46"/>
        <v>0</v>
      </c>
      <c r="FW19" s="8">
        <f t="shared" si="47"/>
        <v>0</v>
      </c>
      <c r="FX19" s="8">
        <f t="shared" si="48"/>
        <v>0</v>
      </c>
      <c r="FY19" s="8">
        <f t="shared" si="49"/>
        <v>0</v>
      </c>
      <c r="FZ19" s="8">
        <f t="shared" si="50"/>
        <v>0</v>
      </c>
      <c r="GA19" s="8">
        <f t="shared" si="50"/>
        <v>0</v>
      </c>
      <c r="GB19" s="8">
        <f t="shared" si="50"/>
        <v>0</v>
      </c>
      <c r="GC19" s="8">
        <f t="shared" si="50"/>
        <v>0</v>
      </c>
      <c r="GD19" s="8">
        <f t="shared" si="51"/>
        <v>0</v>
      </c>
    </row>
    <row r="20" spans="1:186" s="8" customFormat="1" x14ac:dyDescent="0.3">
      <c r="A20" s="8">
        <v>40</v>
      </c>
      <c r="B20" s="8" t="s">
        <v>157</v>
      </c>
      <c r="C20" s="8" t="s">
        <v>158</v>
      </c>
      <c r="D20" s="13"/>
      <c r="E20" s="13"/>
      <c r="F20" s="13"/>
      <c r="G20" s="13"/>
      <c r="H20" s="13"/>
      <c r="I20" s="13"/>
      <c r="J20" s="8" t="s">
        <v>156</v>
      </c>
      <c r="L20" s="8">
        <f>L19</f>
        <v>10</v>
      </c>
      <c r="M20" s="8">
        <f t="shared" si="0"/>
        <v>101.3777669011231</v>
      </c>
      <c r="N20" s="8">
        <f>(2*EG20)/$L20/$CO20</f>
        <v>134.52311718915249</v>
      </c>
      <c r="O20" s="8">
        <f t="shared" si="8"/>
        <v>0.75360851740133383</v>
      </c>
      <c r="P20" s="8">
        <f t="shared" si="1"/>
        <v>5</v>
      </c>
      <c r="Q20" s="8">
        <f t="shared" si="9"/>
        <v>4</v>
      </c>
      <c r="S20" s="10">
        <f t="shared" si="10"/>
        <v>785851.60263011116</v>
      </c>
      <c r="T20" s="10">
        <f t="shared" si="11"/>
        <v>787597.09204261855</v>
      </c>
      <c r="U20" s="11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>
        <v>725442.378505253</v>
      </c>
      <c r="AJ20" s="10">
        <v>701950.16457618505</v>
      </c>
      <c r="AK20" s="10">
        <v>676681.44348963199</v>
      </c>
      <c r="AL20" s="10">
        <v>665100.77388671902</v>
      </c>
      <c r="AM20" s="10">
        <v>687555.43789443804</v>
      </c>
      <c r="AN20" s="10">
        <v>734501.54339493404</v>
      </c>
      <c r="AO20" s="10">
        <v>784958.82278972003</v>
      </c>
      <c r="AP20" s="10">
        <v>805634.20439380896</v>
      </c>
      <c r="AQ20" s="11"/>
      <c r="AR20" s="16">
        <v>3.2888721496165063E-2</v>
      </c>
      <c r="AS20" s="16">
        <v>2.8843039908195367E-2</v>
      </c>
      <c r="AT20" s="16">
        <v>2.3508826348185297E-2</v>
      </c>
      <c r="AU20" s="16">
        <v>1.727558717854083E-2</v>
      </c>
      <c r="AV20" s="16">
        <v>9.7904355801925469E-3</v>
      </c>
      <c r="AW20" s="16">
        <v>1.8178580442596015E-3</v>
      </c>
      <c r="AX20" s="16">
        <v>-3.3449229627590116E-3</v>
      </c>
      <c r="AY20" s="16">
        <v>-1.1079319634054174E-3</v>
      </c>
      <c r="AZ20" s="16">
        <v>4.8934098997499564E-3</v>
      </c>
      <c r="BA20" s="16">
        <v>1.5235248091937992E-2</v>
      </c>
      <c r="BB20" s="16">
        <v>1.6126764918219072E-2</v>
      </c>
      <c r="BC20" s="16">
        <v>2.1540722483505803E-2</v>
      </c>
      <c r="BD20" s="16">
        <v>2.7613026747848268E-2</v>
      </c>
      <c r="BE20" s="16">
        <v>2.6978579088403398E-2</v>
      </c>
      <c r="BF20" s="16">
        <v>2.5079662791946955E-2</v>
      </c>
      <c r="BG20" s="16">
        <v>2.5870185947085789E-2</v>
      </c>
      <c r="BH20" s="16">
        <v>2.6893536703573639E-2</v>
      </c>
      <c r="BI20" s="16">
        <v>2.3026535336124088E-2</v>
      </c>
      <c r="BJ20" s="16">
        <v>1.6693942729572031E-2</v>
      </c>
      <c r="BK20" s="16">
        <v>2.2786008601595631E-2</v>
      </c>
      <c r="BL20" s="16">
        <v>0</v>
      </c>
      <c r="BM20" s="11"/>
      <c r="BN20" s="10" t="str">
        <f t="shared" si="12"/>
        <v>NaN</v>
      </c>
      <c r="BO20" s="10" t="str">
        <f t="shared" si="13"/>
        <v>NaN</v>
      </c>
      <c r="BP20" s="10" t="str">
        <f t="shared" si="14"/>
        <v>NaN</v>
      </c>
      <c r="BQ20" s="10" t="str">
        <f t="shared" si="15"/>
        <v>NaN</v>
      </c>
      <c r="BR20" s="10" t="str">
        <f t="shared" si="16"/>
        <v>NaN</v>
      </c>
      <c r="BS20" s="10" t="str">
        <f t="shared" si="17"/>
        <v>NaN</v>
      </c>
      <c r="BT20" s="10" t="str">
        <f t="shared" si="18"/>
        <v>NaN</v>
      </c>
      <c r="BU20" s="10" t="str">
        <f t="shared" si="19"/>
        <v>NaN</v>
      </c>
      <c r="BV20" s="10" t="str">
        <f t="shared" si="20"/>
        <v>NaN</v>
      </c>
      <c r="BW20" s="10" t="str">
        <f t="shared" si="21"/>
        <v>NaN</v>
      </c>
      <c r="BX20" s="10" t="str">
        <f t="shared" si="22"/>
        <v>NaN</v>
      </c>
      <c r="BY20" s="10" t="str">
        <f t="shared" si="23"/>
        <v>NaN</v>
      </c>
      <c r="BZ20" s="10" t="str">
        <f t="shared" si="24"/>
        <v>NaN</v>
      </c>
      <c r="CA20" s="10">
        <f t="shared" si="25"/>
        <v>874042.63581009477</v>
      </c>
      <c r="CB20" s="10">
        <f t="shared" si="26"/>
        <v>814426.66493623808</v>
      </c>
      <c r="CC20" s="10">
        <f t="shared" si="27"/>
        <v>768858.30398251733</v>
      </c>
      <c r="CD20" s="10">
        <f t="shared" si="28"/>
        <v>739586.77177900879</v>
      </c>
      <c r="CE20" s="10">
        <f t="shared" si="29"/>
        <v>736153.56080290757</v>
      </c>
      <c r="CF20" s="10">
        <f t="shared" si="30"/>
        <v>759229.69335866778</v>
      </c>
      <c r="CG20" s="10">
        <f t="shared" si="31"/>
        <v>802844.90127770498</v>
      </c>
      <c r="CH20" s="10">
        <f t="shared" si="32"/>
        <v>805634.20439380896</v>
      </c>
      <c r="CI20" s="12"/>
      <c r="CJ20" s="13" t="s">
        <v>159</v>
      </c>
      <c r="CK20" s="13" t="s">
        <v>158</v>
      </c>
      <c r="CL20" s="13">
        <v>40</v>
      </c>
      <c r="CM20" s="13">
        <v>175915.006200604</v>
      </c>
      <c r="CN20" s="13">
        <v>54.783955431838898</v>
      </c>
      <c r="CO20" s="13">
        <v>3211.0680000000002</v>
      </c>
      <c r="CP20" s="11"/>
      <c r="CQ20" s="13" t="s">
        <v>157</v>
      </c>
      <c r="CR20" s="13" t="s">
        <v>158</v>
      </c>
      <c r="CS20" s="14">
        <v>501445.89336199302</v>
      </c>
      <c r="CT20" s="13">
        <v>40</v>
      </c>
      <c r="CU20" s="14">
        <v>156.161722332962</v>
      </c>
      <c r="CV20" s="14">
        <v>3211.0678972458199</v>
      </c>
      <c r="CW20" s="11"/>
      <c r="CY20" s="8">
        <v>506139</v>
      </c>
      <c r="CZ20" s="10"/>
      <c r="DI20" s="8">
        <v>891000</v>
      </c>
      <c r="DO20" s="8">
        <v>450000</v>
      </c>
      <c r="DU20" s="10">
        <f>1900000*CV20/SUM($CV$20:$CV$21)</f>
        <v>530800.84858127777</v>
      </c>
      <c r="DV20" s="10">
        <f>1600000*CV20/SUM(CV$20:CV$21)</f>
        <v>446990.18827897072</v>
      </c>
      <c r="EF20" s="8">
        <f t="shared" si="44"/>
        <v>2824930.0368602485</v>
      </c>
      <c r="EG20" s="8">
        <f t="shared" si="33"/>
        <v>2159814.3843316874</v>
      </c>
      <c r="EH20" s="8">
        <f t="shared" si="5"/>
        <v>5.410780827112343E-2</v>
      </c>
      <c r="EI20" s="8">
        <f t="shared" si="6"/>
        <v>672.6156074694627</v>
      </c>
      <c r="EJ20" s="12"/>
      <c r="EL20" s="8">
        <v>6026820</v>
      </c>
      <c r="EV20" s="8">
        <v>6026820</v>
      </c>
      <c r="FC20" s="8">
        <v>4200000</v>
      </c>
      <c r="FI20" s="8">
        <f>57000000*CV20/SUM($CV$20:$CV$21)</f>
        <v>15924025.457438331</v>
      </c>
      <c r="FJ20" s="10" t="e">
        <f>15800000*#REF!/SUM(#REF!)</f>
        <v>#REF!</v>
      </c>
      <c r="FK20" s="10"/>
      <c r="FL20" s="10"/>
      <c r="FM20" s="10"/>
      <c r="FN20" s="10"/>
      <c r="FO20" s="10"/>
      <c r="FP20" s="10"/>
      <c r="FQ20" s="10"/>
      <c r="FR20" s="10"/>
      <c r="FS20" s="10"/>
      <c r="FT20" s="12"/>
      <c r="FU20" s="8">
        <f t="shared" si="45"/>
        <v>0</v>
      </c>
      <c r="FV20" s="8">
        <f t="shared" si="46"/>
        <v>15924025.457438331</v>
      </c>
      <c r="FW20" s="8" t="e">
        <f t="shared" si="47"/>
        <v>#REF!</v>
      </c>
      <c r="FX20" s="8">
        <f t="shared" si="48"/>
        <v>0</v>
      </c>
      <c r="FY20" s="8">
        <f t="shared" si="49"/>
        <v>0</v>
      </c>
      <c r="FZ20" s="8">
        <f t="shared" si="50"/>
        <v>0</v>
      </c>
      <c r="GA20" s="8">
        <f t="shared" si="50"/>
        <v>0</v>
      </c>
      <c r="GB20" s="8">
        <f t="shared" si="50"/>
        <v>0</v>
      </c>
      <c r="GC20" s="8">
        <f t="shared" si="50"/>
        <v>0</v>
      </c>
      <c r="GD20" s="8" t="e">
        <f t="shared" si="51"/>
        <v>#REF!</v>
      </c>
    </row>
    <row r="21" spans="1:186" x14ac:dyDescent="0.3">
      <c r="A21" s="8">
        <v>41</v>
      </c>
      <c r="B21" s="13" t="s">
        <v>160</v>
      </c>
      <c r="C21" s="13" t="s">
        <v>161</v>
      </c>
      <c r="D21" s="13" t="str">
        <f t="shared" si="41"/>
        <v>SIC/SM</v>
      </c>
      <c r="E21" s="13">
        <f>IF(T21&gt;T20,T21-T20,T20-T21)</f>
        <v>10741.7185743273</v>
      </c>
      <c r="F21" s="13">
        <f>IF(T21&gt;T20,EI21-EI20,EI20-EI21)</f>
        <v>-249.52405954801765</v>
      </c>
      <c r="G21" s="13">
        <f>IF(T21&gt;T20,CU21-CU20,CU20-CU21)</f>
        <v>-40.250699212200004</v>
      </c>
      <c r="H21" s="13">
        <f>IF(T21&gt;T20,CN21-CN20,CN20-CN21)</f>
        <v>-2.3335274313638976</v>
      </c>
      <c r="I21" s="13">
        <f>IF(T21&gt;T20,O21-O20,O20-O21)</f>
        <v>-3.6455665601512477E-3</v>
      </c>
      <c r="J21" s="13" t="s">
        <v>156</v>
      </c>
      <c r="L21" s="13">
        <f t="shared" si="43"/>
        <v>10</v>
      </c>
      <c r="M21" s="13">
        <f t="shared" si="0"/>
        <v>63.460595120286996</v>
      </c>
      <c r="N21" s="13">
        <f>(2*EG21)/$L21/$CO21</f>
        <v>84.618306876503098</v>
      </c>
      <c r="O21" s="13">
        <f t="shared" si="8"/>
        <v>0.74996295084118259</v>
      </c>
      <c r="P21" s="13">
        <f t="shared" si="1"/>
        <v>6</v>
      </c>
      <c r="Q21" s="13">
        <f t="shared" si="9"/>
        <v>3.3333333333333335</v>
      </c>
      <c r="S21" s="14">
        <f t="shared" si="10"/>
        <v>779106.04401999596</v>
      </c>
      <c r="T21" s="14">
        <f t="shared" si="11"/>
        <v>798338.81061694585</v>
      </c>
      <c r="V21" s="14">
        <v>371820.81761808199</v>
      </c>
      <c r="W21" s="14">
        <v>447580.48196003598</v>
      </c>
      <c r="X21" s="14">
        <v>499788.811862715</v>
      </c>
      <c r="Y21" s="14">
        <v>586782.78764768504</v>
      </c>
      <c r="Z21" s="14">
        <v>722992.841457912</v>
      </c>
      <c r="AA21" s="14">
        <v>890657.74017878994</v>
      </c>
      <c r="AB21" s="14">
        <v>973098.50356149697</v>
      </c>
      <c r="AC21" s="14">
        <v>878036.35153049196</v>
      </c>
      <c r="AD21" s="14">
        <v>905118.40489434602</v>
      </c>
      <c r="AE21" s="14">
        <v>829248.00064601598</v>
      </c>
      <c r="AF21" s="14">
        <v>678675.56973743194</v>
      </c>
      <c r="AG21" s="14">
        <v>489317.80724702397</v>
      </c>
      <c r="AH21" s="14">
        <v>552475.82520556997</v>
      </c>
      <c r="AI21" s="14">
        <v>610958.97568709496</v>
      </c>
      <c r="AJ21" s="14">
        <v>647102.83889560401</v>
      </c>
      <c r="AK21" s="14">
        <v>646936.31761749496</v>
      </c>
      <c r="AL21" s="14">
        <v>676812.22506463795</v>
      </c>
      <c r="AM21" s="14">
        <v>721707.42196937394</v>
      </c>
      <c r="AN21" s="14">
        <v>753730.52029811696</v>
      </c>
      <c r="AO21" s="14">
        <v>784846.87783850601</v>
      </c>
      <c r="AP21" s="14">
        <v>843637.45484198001</v>
      </c>
      <c r="AR21" s="17">
        <v>3.2888721496165063E-2</v>
      </c>
      <c r="AS21" s="17">
        <v>2.8843039908195367E-2</v>
      </c>
      <c r="AT21" s="17">
        <v>2.3508826348185297E-2</v>
      </c>
      <c r="AU21" s="17">
        <v>1.727558717854083E-2</v>
      </c>
      <c r="AV21" s="17">
        <v>9.7904355801925469E-3</v>
      </c>
      <c r="AW21" s="17">
        <v>1.8178580442596015E-3</v>
      </c>
      <c r="AX21" s="17">
        <v>-3.3449229627590116E-3</v>
      </c>
      <c r="AY21" s="17">
        <v>-1.1079319634054174E-3</v>
      </c>
      <c r="AZ21" s="17">
        <v>4.8934098997499564E-3</v>
      </c>
      <c r="BA21" s="17">
        <v>1.5235248091937992E-2</v>
      </c>
      <c r="BB21" s="17">
        <v>1.6126764918219072E-2</v>
      </c>
      <c r="BC21" s="17">
        <v>2.1540722483505803E-2</v>
      </c>
      <c r="BD21" s="17">
        <v>2.7613026747848268E-2</v>
      </c>
      <c r="BE21" s="17">
        <v>2.6978579088403398E-2</v>
      </c>
      <c r="BF21" s="17">
        <v>2.5079662791946955E-2</v>
      </c>
      <c r="BG21" s="17">
        <v>2.5870185947085789E-2</v>
      </c>
      <c r="BH21" s="17">
        <v>2.6893536703573639E-2</v>
      </c>
      <c r="BI21" s="17">
        <v>2.3026535336124088E-2</v>
      </c>
      <c r="BJ21" s="17">
        <v>1.6693942729572031E-2</v>
      </c>
      <c r="BK21" s="17">
        <v>2.2786008601595631E-2</v>
      </c>
      <c r="BL21" s="17">
        <v>0</v>
      </c>
      <c r="BN21" s="14">
        <f t="shared" si="12"/>
        <v>710238.81978751079</v>
      </c>
      <c r="BO21" s="14">
        <f t="shared" si="13"/>
        <v>768253.40604212997</v>
      </c>
      <c r="BP21" s="14">
        <f t="shared" si="14"/>
        <v>759338.09702966106</v>
      </c>
      <c r="BQ21" s="14">
        <f t="shared" si="15"/>
        <v>785116.21233718854</v>
      </c>
      <c r="BR21" s="14">
        <f t="shared" si="16"/>
        <v>844955.90092413942</v>
      </c>
      <c r="BS21" s="14">
        <f t="shared" si="17"/>
        <v>915255.57186129328</v>
      </c>
      <c r="BT21" s="14">
        <f t="shared" si="18"/>
        <v>928506.97964855842</v>
      </c>
      <c r="BU21" s="14">
        <f t="shared" si="19"/>
        <v>865473.62044459081</v>
      </c>
      <c r="BV21" s="14">
        <f t="shared" si="20"/>
        <v>959721.83023360872</v>
      </c>
      <c r="BW21" s="14">
        <f t="shared" si="21"/>
        <v>979305.05789875356</v>
      </c>
      <c r="BX21" s="14">
        <f t="shared" si="22"/>
        <v>796418.10646822723</v>
      </c>
      <c r="BY21" s="14">
        <f t="shared" si="23"/>
        <v>592778.13538500236</v>
      </c>
      <c r="BZ21" s="14">
        <f t="shared" si="24"/>
        <v>686989.48159173864</v>
      </c>
      <c r="CA21" s="14">
        <f t="shared" si="25"/>
        <v>736108.35168146621</v>
      </c>
      <c r="CB21" s="14">
        <f t="shared" si="26"/>
        <v>750790.91586325783</v>
      </c>
      <c r="CC21" s="14">
        <f t="shared" si="27"/>
        <v>735061.32720736193</v>
      </c>
      <c r="CD21" s="14">
        <f t="shared" si="28"/>
        <v>752609.8123611263</v>
      </c>
      <c r="CE21" s="14">
        <f t="shared" si="29"/>
        <v>772719.49178040097</v>
      </c>
      <c r="CF21" s="14">
        <f t="shared" si="30"/>
        <v>779106.04401999596</v>
      </c>
      <c r="CG21" s="14">
        <f t="shared" si="31"/>
        <v>802730.40554786974</v>
      </c>
      <c r="CH21" s="14">
        <f t="shared" si="32"/>
        <v>843637.45484198001</v>
      </c>
      <c r="CJ21" s="13" t="s">
        <v>160</v>
      </c>
      <c r="CK21" s="13" t="s">
        <v>162</v>
      </c>
      <c r="CL21" s="13">
        <v>41</v>
      </c>
      <c r="CM21" s="13">
        <v>434443.74810225499</v>
      </c>
      <c r="CN21" s="13">
        <v>52.450428000475</v>
      </c>
      <c r="CO21" s="13">
        <v>8282.94</v>
      </c>
      <c r="CQ21" s="13" t="s">
        <v>160</v>
      </c>
      <c r="CR21" s="13" t="s">
        <v>162</v>
      </c>
      <c r="CS21" s="14">
        <v>960084.01912519697</v>
      </c>
      <c r="CT21" s="13">
        <v>41</v>
      </c>
      <c r="CU21" s="14">
        <v>115.911023120762</v>
      </c>
      <c r="CV21" s="14">
        <v>8282.9397349459196</v>
      </c>
      <c r="CZ21" s="14"/>
      <c r="DI21" s="13">
        <v>216630</v>
      </c>
      <c r="DL21" s="13">
        <v>700000</v>
      </c>
      <c r="DO21" s="13">
        <v>394797</v>
      </c>
      <c r="DU21" s="14">
        <f>1900000*CV21/SUM($CV$20:$CV$21)</f>
        <v>1369199.1514187222</v>
      </c>
      <c r="DV21" s="14">
        <f>1600000*CV21/SUM(CV$20:CV$21)</f>
        <v>1153009.8117210292</v>
      </c>
      <c r="EB21" s="13">
        <v>750000</v>
      </c>
      <c r="EF21" s="13">
        <f t="shared" si="44"/>
        <v>4583635.9631397519</v>
      </c>
      <c r="EG21" s="13">
        <f t="shared" si="33"/>
        <v>3504441.793798313</v>
      </c>
      <c r="EH21" s="13">
        <f t="shared" si="5"/>
        <v>8.7793500243227837E-2</v>
      </c>
      <c r="EI21" s="13">
        <f t="shared" si="6"/>
        <v>423.09154792144506</v>
      </c>
      <c r="EW21" s="13">
        <v>1987684</v>
      </c>
      <c r="EY21" s="13">
        <v>6000000</v>
      </c>
      <c r="FC21" s="13">
        <v>5000000</v>
      </c>
      <c r="FI21" s="13">
        <f>57000000*CV21/SUM($CV$20:$CV$21)</f>
        <v>41075974.542561665</v>
      </c>
      <c r="FJ21" s="14" t="e">
        <f>15800000*#REF!/SUM(#REF!)</f>
        <v>#REF!</v>
      </c>
      <c r="FK21" s="14"/>
      <c r="FL21" s="14"/>
      <c r="FM21" s="14"/>
      <c r="FN21" s="14"/>
      <c r="FO21" s="14"/>
      <c r="FP21" s="14">
        <v>32500000</v>
      </c>
      <c r="FQ21" s="14"/>
      <c r="FR21" s="14"/>
      <c r="FS21" s="14"/>
      <c r="FU21" s="13">
        <f t="shared" si="45"/>
        <v>0</v>
      </c>
      <c r="FV21" s="13">
        <f t="shared" si="46"/>
        <v>41075974.542561665</v>
      </c>
      <c r="FW21" s="13" t="e">
        <f t="shared" si="47"/>
        <v>#REF!</v>
      </c>
      <c r="FX21" s="13">
        <f t="shared" si="48"/>
        <v>0</v>
      </c>
      <c r="FY21" s="13">
        <f t="shared" si="49"/>
        <v>0</v>
      </c>
      <c r="FZ21" s="13">
        <f t="shared" si="50"/>
        <v>0</v>
      </c>
      <c r="GA21" s="13">
        <f t="shared" si="50"/>
        <v>32500000</v>
      </c>
      <c r="GB21" s="13">
        <f t="shared" si="50"/>
        <v>0</v>
      </c>
      <c r="GC21" s="13">
        <f t="shared" si="50"/>
        <v>0</v>
      </c>
      <c r="GD21" s="13" t="e">
        <f t="shared" si="51"/>
        <v>#REF!</v>
      </c>
    </row>
    <row r="22" spans="1:186" s="8" customFormat="1" x14ac:dyDescent="0.3">
      <c r="A22" s="8">
        <v>42</v>
      </c>
      <c r="B22" s="8" t="s">
        <v>163</v>
      </c>
      <c r="C22" s="8" t="s">
        <v>164</v>
      </c>
      <c r="D22" s="13"/>
      <c r="E22" s="13"/>
      <c r="F22" s="13"/>
      <c r="G22" s="13"/>
      <c r="H22" s="13"/>
      <c r="I22" s="13"/>
      <c r="J22" s="8" t="s">
        <v>156</v>
      </c>
      <c r="L22" s="8">
        <f t="shared" si="43"/>
        <v>10</v>
      </c>
      <c r="M22" s="8">
        <f t="shared" si="0"/>
        <v>75.432699492430004</v>
      </c>
      <c r="N22" s="8">
        <f>(2*EG22)/$L22/$CO22</f>
        <v>93.050405831007211</v>
      </c>
      <c r="O22" s="8">
        <f t="shared" si="8"/>
        <v>0.81066491670575336</v>
      </c>
      <c r="P22" s="8">
        <f t="shared" si="1"/>
        <v>8</v>
      </c>
      <c r="Q22" s="8">
        <f t="shared" si="9"/>
        <v>2.5</v>
      </c>
      <c r="S22" s="10">
        <f t="shared" si="10"/>
        <v>1160366.9735998199</v>
      </c>
      <c r="T22" s="10">
        <f t="shared" si="11"/>
        <v>1157016.9365578499</v>
      </c>
      <c r="U22" s="11"/>
      <c r="V22" s="10">
        <v>442286.88064173801</v>
      </c>
      <c r="W22" s="10">
        <v>549623.38775585196</v>
      </c>
      <c r="X22" s="10">
        <v>597858.91443490796</v>
      </c>
      <c r="Y22" s="10">
        <v>705873.32304435899</v>
      </c>
      <c r="Z22" s="10">
        <v>843726.43764353998</v>
      </c>
      <c r="AA22" s="10">
        <v>1059153.51313446</v>
      </c>
      <c r="AB22" s="10">
        <v>1216093.5677829301</v>
      </c>
      <c r="AC22" s="10">
        <v>1184779.77933695</v>
      </c>
      <c r="AD22" s="10">
        <v>1057291.8642659199</v>
      </c>
      <c r="AE22" s="10">
        <v>939113.15458728501</v>
      </c>
      <c r="AF22" s="10">
        <v>883714.87195742899</v>
      </c>
      <c r="AG22" s="10">
        <v>675977.44690764602</v>
      </c>
      <c r="AH22" s="10">
        <v>976194.29508177203</v>
      </c>
      <c r="AI22" s="10">
        <v>1049754.0673076101</v>
      </c>
      <c r="AJ22" s="10">
        <v>1111759.47061461</v>
      </c>
      <c r="AK22" s="10">
        <v>1130443.8112011701</v>
      </c>
      <c r="AL22" s="10">
        <v>1182623.79502231</v>
      </c>
      <c r="AM22" s="10">
        <v>1258012.7564636699</v>
      </c>
      <c r="AN22" s="10">
        <v>1319270.78039079</v>
      </c>
      <c r="AO22" s="10">
        <v>1473264.5883772101</v>
      </c>
      <c r="AP22" s="10">
        <v>1582081.8322920001</v>
      </c>
      <c r="AQ22" s="11"/>
      <c r="AR22" s="16">
        <v>3.2888721496165063E-2</v>
      </c>
      <c r="AS22" s="16">
        <v>2.8843039908195367E-2</v>
      </c>
      <c r="AT22" s="16">
        <v>2.3508826348185297E-2</v>
      </c>
      <c r="AU22" s="16">
        <v>1.727558717854083E-2</v>
      </c>
      <c r="AV22" s="16">
        <v>9.7904355801925469E-3</v>
      </c>
      <c r="AW22" s="16">
        <v>1.8178580442596015E-3</v>
      </c>
      <c r="AX22" s="16">
        <v>-3.3449229627590116E-3</v>
      </c>
      <c r="AY22" s="16">
        <v>-1.1079319634054174E-3</v>
      </c>
      <c r="AZ22" s="16">
        <v>4.8934098997499564E-3</v>
      </c>
      <c r="BA22" s="16">
        <v>1.5235248091937992E-2</v>
      </c>
      <c r="BB22" s="16">
        <v>1.6126764918219072E-2</v>
      </c>
      <c r="BC22" s="16">
        <v>2.1540722483505803E-2</v>
      </c>
      <c r="BD22" s="16">
        <v>2.7613026747848268E-2</v>
      </c>
      <c r="BE22" s="16">
        <v>2.6978579088403398E-2</v>
      </c>
      <c r="BF22" s="16">
        <v>2.5079662791946955E-2</v>
      </c>
      <c r="BG22" s="16">
        <v>2.5870185947085789E-2</v>
      </c>
      <c r="BH22" s="16">
        <v>2.6893536703573639E-2</v>
      </c>
      <c r="BI22" s="16">
        <v>2.3026535336124088E-2</v>
      </c>
      <c r="BJ22" s="16">
        <v>1.6693942729572031E-2</v>
      </c>
      <c r="BK22" s="16">
        <v>2.2786008601595631E-2</v>
      </c>
      <c r="BL22" s="16">
        <v>0</v>
      </c>
      <c r="BM22" s="11"/>
      <c r="BN22" s="10">
        <f t="shared" si="12"/>
        <v>844840.57166790345</v>
      </c>
      <c r="BO22" s="10">
        <f t="shared" si="13"/>
        <v>943405.83806232607</v>
      </c>
      <c r="BP22" s="10">
        <f t="shared" si="14"/>
        <v>908337.76107801928</v>
      </c>
      <c r="BQ22" s="10">
        <f t="shared" si="15"/>
        <v>944459.51968038816</v>
      </c>
      <c r="BR22" s="10">
        <f t="shared" si="16"/>
        <v>986056.28074412013</v>
      </c>
      <c r="BS22" s="10">
        <f t="shared" si="17"/>
        <v>1088404.7941448104</v>
      </c>
      <c r="BT22" s="10">
        <f t="shared" si="18"/>
        <v>1160366.9735998199</v>
      </c>
      <c r="BU22" s="10">
        <f t="shared" si="19"/>
        <v>1167828.2377089988</v>
      </c>
      <c r="BV22" s="10">
        <f t="shared" si="20"/>
        <v>1121075.5162832413</v>
      </c>
      <c r="BW22" s="10">
        <f t="shared" si="21"/>
        <v>1109050.9250671905</v>
      </c>
      <c r="BX22" s="10">
        <f t="shared" si="22"/>
        <v>1037029.4089920435</v>
      </c>
      <c r="BY22" s="10">
        <f t="shared" si="23"/>
        <v>818904.69671368366</v>
      </c>
      <c r="BZ22" s="10">
        <f t="shared" si="24"/>
        <v>1213872.5028583894</v>
      </c>
      <c r="CA22" s="10">
        <f t="shared" si="25"/>
        <v>1264786.6172809578</v>
      </c>
      <c r="CB22" s="10">
        <f t="shared" si="26"/>
        <v>1289901.4824088174</v>
      </c>
      <c r="CC22" s="10">
        <f t="shared" si="27"/>
        <v>1284431.721587444</v>
      </c>
      <c r="CD22" s="10">
        <f t="shared" si="28"/>
        <v>1315068.2560152346</v>
      </c>
      <c r="CE22" s="10">
        <f t="shared" si="29"/>
        <v>1346932.2169020448</v>
      </c>
      <c r="CF22" s="10">
        <f t="shared" si="30"/>
        <v>1363686.1066670131</v>
      </c>
      <c r="CG22" s="10">
        <f t="shared" si="31"/>
        <v>1506834.4079603995</v>
      </c>
      <c r="CH22" s="10">
        <f t="shared" si="32"/>
        <v>1582081.8322920001</v>
      </c>
      <c r="CI22" s="12"/>
      <c r="CJ22" s="13" t="s">
        <v>163</v>
      </c>
      <c r="CK22" s="13" t="s">
        <v>165</v>
      </c>
      <c r="CL22" s="13">
        <v>42</v>
      </c>
      <c r="CM22" s="13">
        <v>992309.36946934997</v>
      </c>
      <c r="CN22" s="13">
        <v>158.162075765174</v>
      </c>
      <c r="CO22" s="13">
        <v>6274.0032000000001</v>
      </c>
      <c r="CP22" s="11"/>
      <c r="CQ22" s="13" t="s">
        <v>163</v>
      </c>
      <c r="CR22" s="13" t="s">
        <v>165</v>
      </c>
      <c r="CS22" s="14">
        <v>1465574.3205711099</v>
      </c>
      <c r="CT22" s="13">
        <v>42</v>
      </c>
      <c r="CU22" s="14">
        <v>233.594775257604</v>
      </c>
      <c r="CV22" s="14">
        <v>6274.0029992318996</v>
      </c>
      <c r="CW22" s="11"/>
      <c r="CZ22" s="10"/>
      <c r="DA22" s="8">
        <v>1300000</v>
      </c>
      <c r="DD22" s="8">
        <v>57000</v>
      </c>
      <c r="DH22" s="8">
        <v>225000</v>
      </c>
      <c r="DL22" s="8">
        <v>500000</v>
      </c>
      <c r="DM22" s="8">
        <v>450000</v>
      </c>
      <c r="DP22" s="8">
        <v>75000</v>
      </c>
      <c r="DQ22" s="8">
        <v>46359</v>
      </c>
      <c r="DU22" s="10"/>
      <c r="DX22" s="10">
        <f>1860467*CV22/SUM($CV$22:$CV$23)</f>
        <v>1164538.6263646039</v>
      </c>
      <c r="EE22" s="10">
        <f>1307519*CV22/(SUM($CV$22:$CV$23))</f>
        <v>818426.97570320801</v>
      </c>
      <c r="EF22" s="8">
        <f t="shared" si="44"/>
        <v>3817897.6263646036</v>
      </c>
      <c r="EG22" s="8">
        <f t="shared" si="33"/>
        <v>2918992.7197251893</v>
      </c>
      <c r="EH22" s="8">
        <f t="shared" si="5"/>
        <v>7.3126792547299035E-2</v>
      </c>
      <c r="EI22" s="8">
        <f t="shared" si="6"/>
        <v>465.25204404310125</v>
      </c>
      <c r="EJ22" s="12"/>
      <c r="EY22" s="8">
        <v>4500000</v>
      </c>
      <c r="EZ22" s="8">
        <v>9338000</v>
      </c>
      <c r="FD22" s="8">
        <v>2150543</v>
      </c>
      <c r="FE22" s="8">
        <v>418984</v>
      </c>
      <c r="FS22" s="8">
        <f>28000000*CV22/(SUM($CV$22:$CV$23))</f>
        <v>17526288.581420098</v>
      </c>
      <c r="FT22" s="12"/>
      <c r="FU22" s="8">
        <f t="shared" si="45"/>
        <v>0</v>
      </c>
      <c r="FV22" s="8">
        <f t="shared" si="46"/>
        <v>0</v>
      </c>
      <c r="FW22" s="8">
        <f t="shared" si="47"/>
        <v>0</v>
      </c>
      <c r="FX22" s="8">
        <f t="shared" si="48"/>
        <v>0</v>
      </c>
      <c r="FY22" s="8">
        <f t="shared" si="49"/>
        <v>0</v>
      </c>
      <c r="FZ22" s="8">
        <f t="shared" si="50"/>
        <v>0</v>
      </c>
      <c r="GA22" s="8">
        <f t="shared" si="50"/>
        <v>0</v>
      </c>
      <c r="GB22" s="8">
        <f t="shared" si="50"/>
        <v>0</v>
      </c>
      <c r="GC22" s="8">
        <f t="shared" si="50"/>
        <v>0</v>
      </c>
      <c r="GD22" s="8">
        <f t="shared" si="51"/>
        <v>16407527</v>
      </c>
    </row>
    <row r="23" spans="1:186" x14ac:dyDescent="0.3">
      <c r="A23" s="8">
        <v>43</v>
      </c>
      <c r="B23" s="13" t="s">
        <v>166</v>
      </c>
      <c r="C23" s="13" t="s">
        <v>146</v>
      </c>
      <c r="D23" s="13" t="str">
        <f t="shared" si="41"/>
        <v>SH/AVL</v>
      </c>
      <c r="E23" s="13">
        <f>IF(T23&gt;T22,T23-T22,T22-T23)</f>
        <v>139506.79742445261</v>
      </c>
      <c r="F23" s="13">
        <f>IF(T23&gt;T22,EI23-EI22,EI22-EI23)</f>
        <v>-663.39215408144764</v>
      </c>
      <c r="G23" s="13">
        <f>IF(T23&gt;T22,CU23-CU22,CU22-CU23)</f>
        <v>136.99616131196581</v>
      </c>
      <c r="H23" s="13">
        <f>IF(T23&gt;T22,CN23-CN22,CN22-CN23)</f>
        <v>104.33886670121649</v>
      </c>
      <c r="I23" s="13">
        <f>IF(T23&gt;T22,O23-O22,O22-O23)</f>
        <v>0.62116584196823676</v>
      </c>
      <c r="J23" s="13" t="s">
        <v>156</v>
      </c>
      <c r="L23" s="13">
        <f t="shared" si="43"/>
        <v>10</v>
      </c>
      <c r="M23" s="13">
        <f t="shared" si="0"/>
        <v>42.775404881680707</v>
      </c>
      <c r="N23" s="13">
        <f>(2*EG23)/$L23/$CO23</f>
        <v>225.72883240158711</v>
      </c>
      <c r="O23" s="13">
        <f t="shared" si="8"/>
        <v>0.18949907473751657</v>
      </c>
      <c r="P23" s="13">
        <f t="shared" si="1"/>
        <v>7</v>
      </c>
      <c r="Q23" s="13">
        <f t="shared" si="9"/>
        <v>2.8571428571428572</v>
      </c>
      <c r="S23" s="14">
        <f t="shared" si="10"/>
        <v>1140413.9197669495</v>
      </c>
      <c r="T23" s="14">
        <f t="shared" si="11"/>
        <v>1017510.1391333973</v>
      </c>
      <c r="V23" s="14">
        <v>301993.89812952402</v>
      </c>
      <c r="W23" s="14">
        <v>377287.59061736602</v>
      </c>
      <c r="X23" s="14">
        <v>428938.11679824302</v>
      </c>
      <c r="Y23" s="14">
        <v>499770.31092033099</v>
      </c>
      <c r="Z23" s="14">
        <v>593028.326970194</v>
      </c>
      <c r="AA23" s="14">
        <v>729472.80529334699</v>
      </c>
      <c r="AB23" s="14">
        <v>856387.18124582095</v>
      </c>
      <c r="AC23" s="14">
        <v>859024.47896435903</v>
      </c>
      <c r="AD23" s="14">
        <v>955804.25930988404</v>
      </c>
      <c r="AE23" s="14">
        <v>1007504.7747993</v>
      </c>
      <c r="AF23" s="14">
        <v>930671.90700823395</v>
      </c>
      <c r="AG23" s="14">
        <v>941372.16820913402</v>
      </c>
      <c r="AH23" s="14">
        <v>1060848.8662286601</v>
      </c>
      <c r="AI23" s="14">
        <v>1007831.52778797</v>
      </c>
      <c r="AJ23" s="14">
        <v>995396.04951299995</v>
      </c>
      <c r="AK23" s="14">
        <v>1021443.10236439</v>
      </c>
      <c r="AL23" s="14">
        <v>1085755.2122476499</v>
      </c>
      <c r="AM23" s="14">
        <v>1155356.8149285601</v>
      </c>
      <c r="AN23" s="14">
        <v>1199587.95489345</v>
      </c>
      <c r="AO23" s="14">
        <v>1316980.0375475199</v>
      </c>
      <c r="AP23" s="14">
        <v>1400250.0176164401</v>
      </c>
      <c r="AR23" s="17">
        <v>3.2888721496165063E-2</v>
      </c>
      <c r="AS23" s="17">
        <v>2.8843039908195367E-2</v>
      </c>
      <c r="AT23" s="17">
        <v>2.3508826348185297E-2</v>
      </c>
      <c r="AU23" s="17">
        <v>1.727558717854083E-2</v>
      </c>
      <c r="AV23" s="17">
        <v>9.7904355801925469E-3</v>
      </c>
      <c r="AW23" s="17">
        <v>1.8178580442596015E-3</v>
      </c>
      <c r="AX23" s="17">
        <v>-3.3449229627590116E-3</v>
      </c>
      <c r="AY23" s="17">
        <v>-1.1079319634054174E-3</v>
      </c>
      <c r="AZ23" s="17">
        <v>4.8934098997499564E-3</v>
      </c>
      <c r="BA23" s="17">
        <v>1.5235248091937992E-2</v>
      </c>
      <c r="BB23" s="17">
        <v>1.6126764918219072E-2</v>
      </c>
      <c r="BC23" s="17">
        <v>2.1540722483505803E-2</v>
      </c>
      <c r="BD23" s="17">
        <v>2.7613026747848268E-2</v>
      </c>
      <c r="BE23" s="17">
        <v>2.6978579088403398E-2</v>
      </c>
      <c r="BF23" s="17">
        <v>2.5079662791946955E-2</v>
      </c>
      <c r="BG23" s="17">
        <v>2.5870185947085789E-2</v>
      </c>
      <c r="BH23" s="17">
        <v>2.6893536703573639E-2</v>
      </c>
      <c r="BI23" s="17">
        <v>2.3026535336124088E-2</v>
      </c>
      <c r="BJ23" s="17">
        <v>1.6693942729572031E-2</v>
      </c>
      <c r="BK23" s="17">
        <v>2.2786008601595631E-2</v>
      </c>
      <c r="BL23" s="17">
        <v>0</v>
      </c>
      <c r="BN23" s="14">
        <f t="shared" si="12"/>
        <v>576857.93701539154</v>
      </c>
      <c r="BO23" s="14">
        <f t="shared" si="13"/>
        <v>647598.56211759662</v>
      </c>
      <c r="BP23" s="14">
        <f t="shared" si="14"/>
        <v>651693.36652244243</v>
      </c>
      <c r="BQ23" s="14">
        <f t="shared" si="15"/>
        <v>668693.39354913041</v>
      </c>
      <c r="BR23" s="14">
        <f t="shared" si="16"/>
        <v>693067.42135676485</v>
      </c>
      <c r="BS23" s="14">
        <f t="shared" si="17"/>
        <v>749619.09546982637</v>
      </c>
      <c r="BT23" s="14">
        <f t="shared" si="18"/>
        <v>817143.86792091897</v>
      </c>
      <c r="BU23" s="14">
        <f t="shared" si="19"/>
        <v>846733.7651384169</v>
      </c>
      <c r="BV23" s="14">
        <f t="shared" si="20"/>
        <v>1013465.4296384982</v>
      </c>
      <c r="BW23" s="14">
        <f t="shared" si="21"/>
        <v>1189818.3909390888</v>
      </c>
      <c r="BX23" s="14">
        <f t="shared" si="22"/>
        <v>1092132.9586232651</v>
      </c>
      <c r="BY23" s="14">
        <f t="shared" si="23"/>
        <v>1140413.9197669495</v>
      </c>
      <c r="BZ23" s="14">
        <f t="shared" si="24"/>
        <v>1319138.2851664789</v>
      </c>
      <c r="CA23" s="14">
        <f t="shared" si="25"/>
        <v>1214276.6277527767</v>
      </c>
      <c r="CB23" s="14">
        <f t="shared" si="26"/>
        <v>1154892.6488036937</v>
      </c>
      <c r="CC23" s="14">
        <f t="shared" si="27"/>
        <v>1160583.0466526733</v>
      </c>
      <c r="CD23" s="14">
        <f t="shared" si="28"/>
        <v>1207351.1622544613</v>
      </c>
      <c r="CE23" s="14">
        <f t="shared" si="29"/>
        <v>1237020.2989190053</v>
      </c>
      <c r="CF23" s="14">
        <f t="shared" si="30"/>
        <v>1239973.9705663186</v>
      </c>
      <c r="CG23" s="14">
        <f t="shared" si="31"/>
        <v>1346988.7560112074</v>
      </c>
      <c r="CH23" s="14">
        <f t="shared" si="32"/>
        <v>1400250.0176164401</v>
      </c>
      <c r="CJ23" s="13" t="s">
        <v>166</v>
      </c>
      <c r="CK23" s="13" t="s">
        <v>146</v>
      </c>
      <c r="CL23" s="13">
        <v>43</v>
      </c>
      <c r="CM23" s="13">
        <v>201801.769023261</v>
      </c>
      <c r="CN23" s="13">
        <v>53.823209063957499</v>
      </c>
      <c r="CO23" s="13">
        <v>3749.3447999999999</v>
      </c>
      <c r="CQ23" s="13" t="s">
        <v>166</v>
      </c>
      <c r="CR23" s="13" t="s">
        <v>146</v>
      </c>
      <c r="CS23" s="14">
        <v>362181.49929447798</v>
      </c>
      <c r="CT23" s="13">
        <v>43</v>
      </c>
      <c r="CU23" s="14">
        <v>96.598613945638206</v>
      </c>
      <c r="CV23" s="14">
        <v>3749.3446800209699</v>
      </c>
      <c r="CZ23" s="14"/>
      <c r="DA23" s="13">
        <v>2900000</v>
      </c>
      <c r="DI23" s="13">
        <v>319670</v>
      </c>
      <c r="DM23" s="13">
        <v>580000</v>
      </c>
      <c r="DP23" s="13">
        <v>100000</v>
      </c>
      <c r="DQ23" s="13">
        <v>265000</v>
      </c>
      <c r="DR23" s="13">
        <v>674224</v>
      </c>
      <c r="DX23" s="14">
        <f>1860467*CV23/SUM($CV$22:$CV$23)</f>
        <v>695928.37363539636</v>
      </c>
      <c r="EE23" s="14">
        <f>1307519*CV23/(SUM($CV$22:$CV$23))</f>
        <v>489092.02429679205</v>
      </c>
      <c r="EF23" s="13">
        <f t="shared" si="44"/>
        <v>5534822.3736353964</v>
      </c>
      <c r="EG23" s="13">
        <f t="shared" si="33"/>
        <v>4231676.1198748108</v>
      </c>
      <c r="EH23" s="13">
        <f t="shared" si="5"/>
        <v>0.10601222115229456</v>
      </c>
      <c r="EI23" s="13">
        <f t="shared" si="6"/>
        <v>1128.6441981245489</v>
      </c>
      <c r="EN23" s="13">
        <v>1500000</v>
      </c>
      <c r="EV23" s="13">
        <v>1500000</v>
      </c>
      <c r="FB23" s="13">
        <v>9338000</v>
      </c>
      <c r="FD23" s="13">
        <v>2440250</v>
      </c>
      <c r="FE23" s="13">
        <v>3121700</v>
      </c>
      <c r="FF23" s="13">
        <v>2440250</v>
      </c>
      <c r="FS23" s="13">
        <f>28000000*CV23/(SUM($CV$22:$CV$23))</f>
        <v>10473711.418579904</v>
      </c>
      <c r="FU23" s="13">
        <f t="shared" si="45"/>
        <v>0</v>
      </c>
      <c r="FV23" s="13">
        <f t="shared" si="46"/>
        <v>0</v>
      </c>
      <c r="FW23" s="13">
        <f t="shared" si="47"/>
        <v>0</v>
      </c>
      <c r="FX23" s="13">
        <f t="shared" si="48"/>
        <v>0</v>
      </c>
      <c r="FY23" s="13">
        <f t="shared" si="49"/>
        <v>0</v>
      </c>
      <c r="FZ23" s="13">
        <f t="shared" si="50"/>
        <v>0</v>
      </c>
      <c r="GA23" s="13">
        <f t="shared" si="50"/>
        <v>0</v>
      </c>
      <c r="GB23" s="13">
        <f t="shared" si="50"/>
        <v>0</v>
      </c>
      <c r="GC23" s="13">
        <f t="shared" si="50"/>
        <v>0</v>
      </c>
      <c r="GD23" s="13">
        <f t="shared" si="51"/>
        <v>20340200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Thomas</dc:creator>
  <cp:lastModifiedBy>Owen Thomas</cp:lastModifiedBy>
  <dcterms:created xsi:type="dcterms:W3CDTF">2024-07-15T23:49:23Z</dcterms:created>
  <dcterms:modified xsi:type="dcterms:W3CDTF">2024-08-07T19:11:45Z</dcterms:modified>
</cp:coreProperties>
</file>