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OneDrive\Documents\MSU\Beach_Coordination_Paper\beach-nourishment-efficiency\"/>
    </mc:Choice>
  </mc:AlternateContent>
  <bookViews>
    <workbookView xWindow="0" yWindow="0" windowWidth="28800" windowHeight="12210"/>
  </bookViews>
  <sheets>
    <sheet name="couplets_study_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V21" i="1" l="1"/>
  <c r="FU21" i="1"/>
  <c r="FV20" i="1"/>
  <c r="I3" i="1"/>
  <c r="J23" i="1" l="1"/>
  <c r="J21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D23" i="1" l="1"/>
  <c r="D21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N23" i="1" l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U2" i="1"/>
  <c r="GG2" i="1"/>
  <c r="GE23" i="1"/>
  <c r="GE22" i="1"/>
  <c r="FU20" i="1"/>
  <c r="GB15" i="1"/>
  <c r="FS15" i="1"/>
  <c r="GB14" i="1"/>
  <c r="FS14" i="1"/>
  <c r="GB13" i="1"/>
  <c r="FS13" i="1"/>
  <c r="GB12" i="1"/>
  <c r="FS12" i="1"/>
  <c r="GB11" i="1"/>
  <c r="FS11" i="1"/>
  <c r="GB10" i="1"/>
  <c r="FS10" i="1"/>
  <c r="GB9" i="1"/>
  <c r="FS9" i="1"/>
  <c r="GB8" i="1"/>
  <c r="FS8" i="1"/>
  <c r="GD7" i="1"/>
  <c r="GB7" i="1"/>
  <c r="GD6" i="1"/>
  <c r="GB6" i="1"/>
  <c r="GD5" i="1"/>
  <c r="GB5" i="1"/>
  <c r="GB4" i="1"/>
  <c r="GB3" i="1"/>
  <c r="FP3" i="1"/>
  <c r="EY3" i="1"/>
  <c r="GB2" i="1"/>
  <c r="FP2" i="1"/>
  <c r="EY2" i="1"/>
  <c r="EQ23" i="1"/>
  <c r="EJ23" i="1"/>
  <c r="EQ22" i="1"/>
  <c r="EJ22" i="1"/>
  <c r="EH21" i="1"/>
  <c r="EG21" i="1"/>
  <c r="EH20" i="1"/>
  <c r="EG20" i="1"/>
  <c r="EN15" i="1"/>
  <c r="EH15" i="1"/>
  <c r="EE15" i="1"/>
  <c r="EN14" i="1"/>
  <c r="EH14" i="1"/>
  <c r="EE14" i="1"/>
  <c r="EN13" i="1"/>
  <c r="EH13" i="1"/>
  <c r="EE13" i="1"/>
  <c r="EN12" i="1"/>
  <c r="EH12" i="1"/>
  <c r="EE12" i="1"/>
  <c r="EN11" i="1"/>
  <c r="EH11" i="1"/>
  <c r="EE11" i="1"/>
  <c r="EN10" i="1"/>
  <c r="EH10" i="1"/>
  <c r="EE10" i="1"/>
  <c r="EN9" i="1"/>
  <c r="EH9" i="1"/>
  <c r="EE9" i="1"/>
  <c r="EN8" i="1"/>
  <c r="EH8" i="1"/>
  <c r="EE8" i="1"/>
  <c r="EP7" i="1"/>
  <c r="EN7" i="1"/>
  <c r="EH7" i="1"/>
  <c r="EP6" i="1"/>
  <c r="EN6" i="1"/>
  <c r="EH6" i="1"/>
  <c r="EP5" i="1"/>
  <c r="EN5" i="1"/>
  <c r="EH5" i="1"/>
  <c r="EN4" i="1"/>
  <c r="EH4" i="1"/>
  <c r="EN3" i="1"/>
  <c r="EH3" i="1"/>
  <c r="EB3" i="1"/>
  <c r="DL3" i="1"/>
  <c r="EN2" i="1"/>
  <c r="EH2" i="1"/>
  <c r="EB2" i="1"/>
  <c r="DL2" i="1"/>
  <c r="P2" i="1"/>
  <c r="Y18" i="1" l="1"/>
  <c r="Y2" i="1"/>
  <c r="Z7" i="1"/>
  <c r="Z15" i="1"/>
  <c r="Z22" i="1"/>
  <c r="Z5" i="1"/>
  <c r="Z13" i="1"/>
  <c r="Z20" i="1"/>
  <c r="Z4" i="1"/>
  <c r="Z12" i="1"/>
  <c r="Z18" i="1"/>
  <c r="Z21" i="1"/>
  <c r="Z9" i="1"/>
  <c r="Z17" i="1"/>
  <c r="Y6" i="1"/>
  <c r="Y14" i="1"/>
  <c r="Y21" i="1"/>
  <c r="Y10" i="1"/>
  <c r="Z3" i="1"/>
  <c r="Z11" i="1"/>
  <c r="Z19" i="1"/>
  <c r="Z2" i="1"/>
  <c r="Z6" i="1"/>
  <c r="Z8" i="1"/>
  <c r="Z10" i="1"/>
  <c r="Z14" i="1"/>
  <c r="Z16" i="1"/>
  <c r="Z23" i="1"/>
  <c r="Y3" i="1"/>
  <c r="Y7" i="1"/>
  <c r="Y11" i="1"/>
  <c r="Y15" i="1"/>
  <c r="Y19" i="1"/>
  <c r="Y22" i="1"/>
  <c r="Y4" i="1"/>
  <c r="Y8" i="1"/>
  <c r="Y12" i="1"/>
  <c r="Y16" i="1"/>
  <c r="Y23" i="1"/>
  <c r="Y5" i="1"/>
  <c r="Y9" i="1"/>
  <c r="Y13" i="1"/>
  <c r="Y17" i="1"/>
  <c r="Y20" i="1"/>
  <c r="ER2" i="1"/>
  <c r="GP23" i="1"/>
  <c r="GO23" i="1"/>
  <c r="GN23" i="1"/>
  <c r="GM23" i="1"/>
  <c r="GL23" i="1"/>
  <c r="GK23" i="1"/>
  <c r="GJ23" i="1"/>
  <c r="GI23" i="1"/>
  <c r="GH23" i="1"/>
  <c r="GG23" i="1"/>
  <c r="P23" i="1"/>
  <c r="GP22" i="1"/>
  <c r="GO22" i="1"/>
  <c r="GN22" i="1"/>
  <c r="GM22" i="1"/>
  <c r="GL22" i="1"/>
  <c r="GK22" i="1"/>
  <c r="GJ22" i="1"/>
  <c r="GI22" i="1"/>
  <c r="GH22" i="1"/>
  <c r="GG22" i="1"/>
  <c r="P22" i="1"/>
  <c r="GO21" i="1"/>
  <c r="GN21" i="1"/>
  <c r="GM21" i="1"/>
  <c r="GL21" i="1"/>
  <c r="GK21" i="1"/>
  <c r="GJ21" i="1"/>
  <c r="GG21" i="1"/>
  <c r="GH21" i="1"/>
  <c r="GI21" i="1"/>
  <c r="P21" i="1"/>
  <c r="GO20" i="1"/>
  <c r="GN20" i="1"/>
  <c r="GM20" i="1"/>
  <c r="GL20" i="1"/>
  <c r="GK20" i="1"/>
  <c r="GJ20" i="1"/>
  <c r="GG20" i="1"/>
  <c r="GH20" i="1"/>
  <c r="ER20" i="1"/>
  <c r="P20" i="1"/>
  <c r="GP19" i="1"/>
  <c r="GO19" i="1"/>
  <c r="GN19" i="1"/>
  <c r="GM19" i="1"/>
  <c r="GL19" i="1"/>
  <c r="GK19" i="1"/>
  <c r="GJ19" i="1"/>
  <c r="GI19" i="1"/>
  <c r="GH19" i="1"/>
  <c r="GG19" i="1"/>
  <c r="ER19" i="1"/>
  <c r="V19" i="1"/>
  <c r="P19" i="1"/>
  <c r="GP18" i="1"/>
  <c r="GO18" i="1"/>
  <c r="GN18" i="1"/>
  <c r="GM18" i="1"/>
  <c r="GL18" i="1"/>
  <c r="GK18" i="1"/>
  <c r="GJ18" i="1"/>
  <c r="GI18" i="1"/>
  <c r="GH18" i="1"/>
  <c r="GG18" i="1"/>
  <c r="ER18" i="1"/>
  <c r="ES18" i="1" s="1"/>
  <c r="EU18" i="1" s="1"/>
  <c r="V18" i="1"/>
  <c r="W18" i="1" s="1"/>
  <c r="P18" i="1"/>
  <c r="GP17" i="1"/>
  <c r="GO17" i="1"/>
  <c r="GN17" i="1"/>
  <c r="GM17" i="1"/>
  <c r="GL17" i="1"/>
  <c r="GK17" i="1"/>
  <c r="GJ17" i="1"/>
  <c r="GI17" i="1"/>
  <c r="GH17" i="1"/>
  <c r="GG17" i="1"/>
  <c r="ER17" i="1"/>
  <c r="ES17" i="1" s="1"/>
  <c r="EU17" i="1" s="1"/>
  <c r="V17" i="1"/>
  <c r="W17" i="1" s="1"/>
  <c r="P17" i="1"/>
  <c r="GP16" i="1"/>
  <c r="GO16" i="1"/>
  <c r="GN16" i="1"/>
  <c r="GM16" i="1"/>
  <c r="GL16" i="1"/>
  <c r="GK16" i="1"/>
  <c r="GJ16" i="1"/>
  <c r="GI16" i="1"/>
  <c r="GH16" i="1"/>
  <c r="GG16" i="1"/>
  <c r="ER16" i="1"/>
  <c r="ES16" i="1" s="1"/>
  <c r="EU16" i="1" s="1"/>
  <c r="V16" i="1"/>
  <c r="W16" i="1" s="1"/>
  <c r="P16" i="1"/>
  <c r="GO15" i="1"/>
  <c r="GN15" i="1"/>
  <c r="GL15" i="1"/>
  <c r="GK15" i="1"/>
  <c r="GJ15" i="1"/>
  <c r="GI15" i="1"/>
  <c r="GH15" i="1"/>
  <c r="GM15" i="1"/>
  <c r="GG15" i="1"/>
  <c r="P15" i="1"/>
  <c r="GO14" i="1"/>
  <c r="GN14" i="1"/>
  <c r="GL14" i="1"/>
  <c r="GK14" i="1"/>
  <c r="GJ14" i="1"/>
  <c r="GI14" i="1"/>
  <c r="GH14" i="1"/>
  <c r="GM14" i="1"/>
  <c r="GG14" i="1"/>
  <c r="P14" i="1"/>
  <c r="GO13" i="1"/>
  <c r="GN13" i="1"/>
  <c r="GL13" i="1"/>
  <c r="GK13" i="1"/>
  <c r="GJ13" i="1"/>
  <c r="GI13" i="1"/>
  <c r="GH13" i="1"/>
  <c r="GM13" i="1"/>
  <c r="P13" i="1"/>
  <c r="GO12" i="1"/>
  <c r="GN12" i="1"/>
  <c r="GL12" i="1"/>
  <c r="GK12" i="1"/>
  <c r="GJ12" i="1"/>
  <c r="GI12" i="1"/>
  <c r="GH12" i="1"/>
  <c r="GM12" i="1"/>
  <c r="P12" i="1"/>
  <c r="GO11" i="1"/>
  <c r="GN11" i="1"/>
  <c r="GL11" i="1"/>
  <c r="GK11" i="1"/>
  <c r="GJ11" i="1"/>
  <c r="GI11" i="1"/>
  <c r="GH11" i="1"/>
  <c r="GM11" i="1"/>
  <c r="GG11" i="1"/>
  <c r="P11" i="1"/>
  <c r="GO10" i="1"/>
  <c r="GN10" i="1"/>
  <c r="GL10" i="1"/>
  <c r="GK10" i="1"/>
  <c r="GJ10" i="1"/>
  <c r="GI10" i="1"/>
  <c r="GH10" i="1"/>
  <c r="GM10" i="1"/>
  <c r="P10" i="1"/>
  <c r="GO9" i="1"/>
  <c r="GN9" i="1"/>
  <c r="GL9" i="1"/>
  <c r="GK9" i="1"/>
  <c r="GJ9" i="1"/>
  <c r="GI9" i="1"/>
  <c r="GH9" i="1"/>
  <c r="GM9" i="1"/>
  <c r="GG9" i="1"/>
  <c r="P9" i="1"/>
  <c r="GO8" i="1"/>
  <c r="GN8" i="1"/>
  <c r="GL8" i="1"/>
  <c r="GK8" i="1"/>
  <c r="GJ8" i="1"/>
  <c r="GI8" i="1"/>
  <c r="GH8" i="1"/>
  <c r="GM8" i="1"/>
  <c r="GG8" i="1"/>
  <c r="P8" i="1"/>
  <c r="GN7" i="1"/>
  <c r="GL7" i="1"/>
  <c r="GK7" i="1"/>
  <c r="GJ7" i="1"/>
  <c r="GI7" i="1"/>
  <c r="GH7" i="1"/>
  <c r="GG7" i="1"/>
  <c r="GO7" i="1"/>
  <c r="GM7" i="1"/>
  <c r="P7" i="1"/>
  <c r="GN6" i="1"/>
  <c r="GL6" i="1"/>
  <c r="GK6" i="1"/>
  <c r="GJ6" i="1"/>
  <c r="GI6" i="1"/>
  <c r="GH6" i="1"/>
  <c r="GG6" i="1"/>
  <c r="GO6" i="1"/>
  <c r="GM6" i="1"/>
  <c r="P6" i="1"/>
  <c r="GN5" i="1"/>
  <c r="GL5" i="1"/>
  <c r="GK5" i="1"/>
  <c r="GJ5" i="1"/>
  <c r="GI5" i="1"/>
  <c r="GH5" i="1"/>
  <c r="GG5" i="1"/>
  <c r="GO5" i="1"/>
  <c r="GP5" i="1"/>
  <c r="EI5" i="1"/>
  <c r="P5" i="1"/>
  <c r="GO4" i="1"/>
  <c r="GN4" i="1"/>
  <c r="GL4" i="1"/>
  <c r="GK4" i="1"/>
  <c r="GJ4" i="1"/>
  <c r="GI4" i="1"/>
  <c r="GH4" i="1"/>
  <c r="GG4" i="1"/>
  <c r="GP4" i="1"/>
  <c r="EI4" i="1"/>
  <c r="P4" i="1"/>
  <c r="GO3" i="1"/>
  <c r="GN3" i="1"/>
  <c r="GL3" i="1"/>
  <c r="GK3" i="1"/>
  <c r="GJ3" i="1"/>
  <c r="GI3" i="1"/>
  <c r="GH3" i="1"/>
  <c r="GG3" i="1"/>
  <c r="GM3" i="1"/>
  <c r="P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GO2" i="1"/>
  <c r="GN2" i="1"/>
  <c r="GL2" i="1"/>
  <c r="GK2" i="1"/>
  <c r="GJ2" i="1"/>
  <c r="GI2" i="1"/>
  <c r="GH2" i="1"/>
  <c r="GM2" i="1"/>
  <c r="K8" i="1" l="1"/>
  <c r="K6" i="1"/>
  <c r="K13" i="1"/>
  <c r="K17" i="1"/>
  <c r="K5" i="1"/>
  <c r="K19" i="1"/>
  <c r="K9" i="1"/>
  <c r="K23" i="1"/>
  <c r="K11" i="1"/>
  <c r="K21" i="1"/>
  <c r="K15" i="1"/>
  <c r="K3" i="1"/>
  <c r="K18" i="1"/>
  <c r="K7" i="1"/>
  <c r="K14" i="1"/>
  <c r="K12" i="1"/>
  <c r="K10" i="1"/>
  <c r="K4" i="1"/>
  <c r="H9" i="1"/>
  <c r="E9" i="1"/>
  <c r="G9" i="1"/>
  <c r="E10" i="1"/>
  <c r="G10" i="1"/>
  <c r="H10" i="1"/>
  <c r="H11" i="1"/>
  <c r="G11" i="1"/>
  <c r="E11" i="1"/>
  <c r="F18" i="1"/>
  <c r="E18" i="1"/>
  <c r="H18" i="1"/>
  <c r="G18" i="1"/>
  <c r="E13" i="1"/>
  <c r="G13" i="1"/>
  <c r="H13" i="1"/>
  <c r="G7" i="1"/>
  <c r="E7" i="1"/>
  <c r="H7" i="1"/>
  <c r="E19" i="1"/>
  <c r="G19" i="1"/>
  <c r="H19" i="1"/>
  <c r="H21" i="1"/>
  <c r="G21" i="1"/>
  <c r="E21" i="1"/>
  <c r="G8" i="1"/>
  <c r="E8" i="1"/>
  <c r="H8" i="1"/>
  <c r="H3" i="1"/>
  <c r="E3" i="1"/>
  <c r="G3" i="1"/>
  <c r="E12" i="1"/>
  <c r="H12" i="1"/>
  <c r="G12" i="1"/>
  <c r="E5" i="1"/>
  <c r="G5" i="1"/>
  <c r="H5" i="1"/>
  <c r="H14" i="1"/>
  <c r="G14" i="1"/>
  <c r="E14" i="1"/>
  <c r="H6" i="1"/>
  <c r="G6" i="1"/>
  <c r="E6" i="1"/>
  <c r="G15" i="1"/>
  <c r="E15" i="1"/>
  <c r="H15" i="1"/>
  <c r="E23" i="1"/>
  <c r="H23" i="1"/>
  <c r="G23" i="1"/>
  <c r="G17" i="1"/>
  <c r="E17" i="1"/>
  <c r="H17" i="1"/>
  <c r="F17" i="1"/>
  <c r="E4" i="1"/>
  <c r="H4" i="1"/>
  <c r="G4" i="1"/>
  <c r="N16" i="1"/>
  <c r="N17" i="1" s="1"/>
  <c r="ER3" i="1"/>
  <c r="ES3" i="1" s="1"/>
  <c r="EU3" i="1" s="1"/>
  <c r="V21" i="1"/>
  <c r="W21" i="1" s="1"/>
  <c r="V8" i="1"/>
  <c r="W8" i="1" s="1"/>
  <c r="GM4" i="1"/>
  <c r="V5" i="1"/>
  <c r="W5" i="1" s="1"/>
  <c r="ER10" i="1"/>
  <c r="ES10" i="1" s="1"/>
  <c r="EU10" i="1" s="1"/>
  <c r="ER12" i="1"/>
  <c r="ES12" i="1" s="1"/>
  <c r="V15" i="1"/>
  <c r="W15" i="1" s="1"/>
  <c r="GP12" i="1"/>
  <c r="V14" i="1"/>
  <c r="W14" i="1" s="1"/>
  <c r="ES2" i="1"/>
  <c r="EU2" i="1" s="1"/>
  <c r="GP15" i="1"/>
  <c r="V2" i="1"/>
  <c r="W2" i="1" s="1"/>
  <c r="V3" i="1"/>
  <c r="W3" i="1" s="1"/>
  <c r="GP3" i="1"/>
  <c r="ER5" i="1"/>
  <c r="ES5" i="1" s="1"/>
  <c r="EU5" i="1" s="1"/>
  <c r="V13" i="1"/>
  <c r="W13" i="1" s="1"/>
  <c r="GP21" i="1"/>
  <c r="ER11" i="1"/>
  <c r="ES11" i="1" s="1"/>
  <c r="EU11" i="1" s="1"/>
  <c r="ER8" i="1"/>
  <c r="ES8" i="1" s="1"/>
  <c r="EU8" i="1" s="1"/>
  <c r="V12" i="1"/>
  <c r="W12" i="1" s="1"/>
  <c r="GP14" i="1"/>
  <c r="ER21" i="1"/>
  <c r="ES21" i="1" s="1"/>
  <c r="EU21" i="1" s="1"/>
  <c r="GP8" i="1"/>
  <c r="ER15" i="1"/>
  <c r="ES15" i="1" s="1"/>
  <c r="EU15" i="1" s="1"/>
  <c r="V10" i="1"/>
  <c r="W10" i="1" s="1"/>
  <c r="GG12" i="1"/>
  <c r="GP6" i="1"/>
  <c r="V20" i="1"/>
  <c r="W20" i="1" s="1"/>
  <c r="ER13" i="1"/>
  <c r="ES13" i="1" s="1"/>
  <c r="EU13" i="1" s="1"/>
  <c r="GP2" i="1"/>
  <c r="ER4" i="1"/>
  <c r="V4" i="1"/>
  <c r="ER6" i="1"/>
  <c r="V6" i="1"/>
  <c r="ER9" i="1"/>
  <c r="V9" i="1"/>
  <c r="GM5" i="1"/>
  <c r="GG13" i="1"/>
  <c r="GP13" i="1"/>
  <c r="ER7" i="1"/>
  <c r="V7" i="1"/>
  <c r="GP9" i="1"/>
  <c r="GP10" i="1"/>
  <c r="GG10" i="1"/>
  <c r="V11" i="1"/>
  <c r="GP11" i="1"/>
  <c r="GP7" i="1"/>
  <c r="ER14" i="1"/>
  <c r="ES19" i="1"/>
  <c r="EU19" i="1" s="1"/>
  <c r="F19" i="1" s="1"/>
  <c r="W19" i="1"/>
  <c r="ES20" i="1"/>
  <c r="EU20" i="1" s="1"/>
  <c r="ER23" i="1"/>
  <c r="V23" i="1"/>
  <c r="ER22" i="1"/>
  <c r="V22" i="1"/>
  <c r="Q16" i="1" l="1"/>
  <c r="F11" i="1"/>
  <c r="F21" i="1"/>
  <c r="F3" i="1"/>
  <c r="N18" i="1"/>
  <c r="Q17" i="1"/>
  <c r="Q3" i="1"/>
  <c r="Q12" i="1"/>
  <c r="EU12" i="1"/>
  <c r="Q8" i="1"/>
  <c r="Q10" i="1"/>
  <c r="ES22" i="1"/>
  <c r="EU22" i="1" s="1"/>
  <c r="ES7" i="1"/>
  <c r="EU7" i="1" s="1"/>
  <c r="Q11" i="1"/>
  <c r="W23" i="1"/>
  <c r="Q5" i="1"/>
  <c r="Q15" i="1"/>
  <c r="W6" i="1"/>
  <c r="ES23" i="1"/>
  <c r="EU23" i="1" s="1"/>
  <c r="ES6" i="1"/>
  <c r="EU6" i="1" s="1"/>
  <c r="F6" i="1" s="1"/>
  <c r="Q2" i="1"/>
  <c r="W7" i="1"/>
  <c r="GP20" i="1"/>
  <c r="GI20" i="1"/>
  <c r="W11" i="1"/>
  <c r="W9" i="1"/>
  <c r="ES14" i="1"/>
  <c r="EU14" i="1" s="1"/>
  <c r="ES9" i="1"/>
  <c r="EU9" i="1" s="1"/>
  <c r="W4" i="1"/>
  <c r="W22" i="1"/>
  <c r="Q13" i="1"/>
  <c r="ES4" i="1"/>
  <c r="EU4" i="1" s="1"/>
  <c r="F4" i="1" s="1"/>
  <c r="F9" i="1" l="1"/>
  <c r="F10" i="1"/>
  <c r="F13" i="1"/>
  <c r="F12" i="1"/>
  <c r="F14" i="1"/>
  <c r="F15" i="1"/>
  <c r="I11" i="1"/>
  <c r="I12" i="1"/>
  <c r="F7" i="1"/>
  <c r="F8" i="1"/>
  <c r="I17" i="1"/>
  <c r="F23" i="1"/>
  <c r="F5" i="1"/>
  <c r="N19" i="1"/>
  <c r="N20" i="1" s="1"/>
  <c r="Q18" i="1"/>
  <c r="ET5" i="1"/>
  <c r="ET21" i="1"/>
  <c r="ET16" i="1"/>
  <c r="ET15" i="1"/>
  <c r="ET3" i="1"/>
  <c r="ET23" i="1"/>
  <c r="ET9" i="1"/>
  <c r="ET12" i="1"/>
  <c r="ET4" i="1"/>
  <c r="ET2" i="1"/>
  <c r="ET22" i="1"/>
  <c r="ET14" i="1"/>
  <c r="Q9" i="1"/>
  <c r="I13" i="1"/>
  <c r="ET20" i="1"/>
  <c r="Q6" i="1"/>
  <c r="Q14" i="1"/>
  <c r="ET6" i="1"/>
  <c r="ET7" i="1"/>
  <c r="ET19" i="1"/>
  <c r="ET11" i="1"/>
  <c r="Q7" i="1"/>
  <c r="ET18" i="1"/>
  <c r="ET17" i="1"/>
  <c r="Q4" i="1"/>
  <c r="ET10" i="1"/>
  <c r="ET13" i="1"/>
  <c r="ET8" i="1"/>
  <c r="Q19" i="1" l="1"/>
  <c r="I4" i="1"/>
  <c r="I6" i="1"/>
  <c r="I8" i="1" l="1"/>
  <c r="I7" i="1"/>
  <c r="I15" i="1"/>
  <c r="I14" i="1"/>
  <c r="I9" i="1"/>
  <c r="I10" i="1"/>
  <c r="I5" i="1"/>
  <c r="N21" i="1"/>
  <c r="Q20" i="1"/>
  <c r="N22" i="1" l="1"/>
  <c r="Q21" i="1"/>
  <c r="N23" i="1" l="1"/>
  <c r="Q22" i="1"/>
  <c r="I21" i="1"/>
  <c r="Q23" i="1" l="1"/>
  <c r="I23" i="1" l="1"/>
  <c r="I18" i="1"/>
  <c r="I19" i="1"/>
</calcChain>
</file>

<file path=xl/sharedStrings.xml><?xml version="1.0" encoding="utf-8"?>
<sst xmlns="http://schemas.openxmlformats.org/spreadsheetml/2006/main" count="353" uniqueCount="228">
  <si>
    <t>NS Order</t>
  </si>
  <si>
    <t>RegionName</t>
  </si>
  <si>
    <t>Abbreviation</t>
  </si>
  <si>
    <t>CountyName</t>
  </si>
  <si>
    <t>Nourishment Analyses</t>
  </si>
  <si>
    <t>Depth_of_Closure</t>
  </si>
  <si>
    <t>2000_to_2020_Beach_Width_Change</t>
  </si>
  <si>
    <t>PSDS_Theoretical_Nourishment_Width_Added_00_20</t>
  </si>
  <si>
    <t>Efficiency_PSDSDATA_00_20</t>
  </si>
  <si>
    <t>PSDS_Number_Nourishments_00_20</t>
  </si>
  <si>
    <t>PSDS_Rotation_Interval_00_20</t>
  </si>
  <si>
    <t>Housing Analyses</t>
  </si>
  <si>
    <t>INF_Median_House_Val</t>
  </si>
  <si>
    <t>INF_Mean_House_Val</t>
  </si>
  <si>
    <t>Zillow Typical Home Values</t>
  </si>
  <si>
    <t>Municipality_2000</t>
  </si>
  <si>
    <t>Muni_acronym_2000</t>
  </si>
  <si>
    <t>North_South_Order_2000</t>
  </si>
  <si>
    <t>Area_m2_2000</t>
  </si>
  <si>
    <t>Avg_Beach_Width_m_2000</t>
  </si>
  <si>
    <t>Alongshore_Length_m_2000</t>
  </si>
  <si>
    <t>Municipality_2020</t>
  </si>
  <si>
    <t>Muni_acronym_2020</t>
  </si>
  <si>
    <t>Area_m2_2020</t>
  </si>
  <si>
    <t>NS_Order_2020</t>
  </si>
  <si>
    <t>Avg_Beach_Width_m_2020</t>
  </si>
  <si>
    <t>Alongshore_Length_m_2020</t>
  </si>
  <si>
    <t>PSDS Nourishment Data</t>
  </si>
  <si>
    <t>PSDS 2000 Volumetric Fill (c/y)_ID1</t>
  </si>
  <si>
    <t>PSDS 2001 Volumetric Fill (c/y)_ID2</t>
  </si>
  <si>
    <t>PSDS_2002_Volumetric_Fill_(c/y)_ID3</t>
  </si>
  <si>
    <t>PSDS 2003 Volumetric Fill (c/y)_ID4</t>
  </si>
  <si>
    <t>PSDS 2004 Volumetric Fill (c/y)_ID5</t>
  </si>
  <si>
    <t>PSDS 2004 Volumetric Fill (c/y)_ID6</t>
  </si>
  <si>
    <t>PSDS 2005 Volumetric Fill (c/y)_D7</t>
  </si>
  <si>
    <t>PSDS 2005 Volumetric Fill (c/y)_ID8</t>
  </si>
  <si>
    <t>PSDS 2006 Volumetric Fill (c/y)_ID9</t>
  </si>
  <si>
    <t>PSDS 2007 Volumetric Fill (c/y)_ID10</t>
  </si>
  <si>
    <t>PSDS 2008 Volumetric Fill (c/y)_ID11</t>
  </si>
  <si>
    <t>PSDS 2009 Volumetric Fill (c/y)_ID12</t>
  </si>
  <si>
    <t>PSDS 2009 Volumetric Fill (c/y)_ID13</t>
  </si>
  <si>
    <t>PSDS 2009 Volumetric Fill (c/y)_ID14</t>
  </si>
  <si>
    <t>PSDS 2010 Volumetric Fill (c/y)_ID15</t>
  </si>
  <si>
    <t>PSDS 2011 Volumetric Fill (c/y)_ID16</t>
  </si>
  <si>
    <t>PSDS 2011 Volumetric Fill (c/y)_ID17</t>
  </si>
  <si>
    <t>PSDS 2012 Volumetric Fill (c/y)_ID18</t>
  </si>
  <si>
    <t>PSDS 2013 Volumetric Fill (c/y)_ID19</t>
  </si>
  <si>
    <t>PSDS 2013 Volumetric Fill (c/y)_ID20</t>
  </si>
  <si>
    <t>PSDS 2013 Volumetric Fill (c/y)_ID21</t>
  </si>
  <si>
    <t>PSDS 2014 Volumetric Fill (c/y)_ID22</t>
  </si>
  <si>
    <t>PSDS 2014 Volumetric Fill (c/y) (questionable)_ID23</t>
  </si>
  <si>
    <t>PSDS 2015 Volumetric Fill (c/y)_ID24</t>
  </si>
  <si>
    <t>PSDS 2016 Volumetric Fill (c/y)_ID25</t>
  </si>
  <si>
    <t>PSDS 2016 Volumetric Fill (c/y)_ID26</t>
  </si>
  <si>
    <t>PSDS 2017 Volumetric Fill (c/y)_ID27</t>
  </si>
  <si>
    <t>PSDS 2018 Volumetric Fill (c/y)_ID28</t>
  </si>
  <si>
    <t>PSDS 2018 Volumetric Fill (c/y)_ID29</t>
  </si>
  <si>
    <t>PSDS 2019 Volumetric Fill (c/y)_ID30</t>
  </si>
  <si>
    <t>PSDS 2020 Volumetric Fill (c/y)_ID31</t>
  </si>
  <si>
    <t>PSDS_2021_Volumetric_Fill_(c/y)_ID32</t>
  </si>
  <si>
    <t>PSDS 2022 Volumetric Fill (c/y)_ID33</t>
  </si>
  <si>
    <t>PSDS 2023 Volumetric Fill (c/y)_ID34</t>
  </si>
  <si>
    <t>total_sand_placed_00_20_cu_yd</t>
  </si>
  <si>
    <t>total_sand_placed_00_20_cu_m</t>
  </si>
  <si>
    <t>percent_share_of_nourishment</t>
  </si>
  <si>
    <t>PSDS_0020_Volume_Totals_per_m</t>
  </si>
  <si>
    <t>Individual Costs</t>
  </si>
  <si>
    <t>PSDS_2000_Cost_ID1</t>
  </si>
  <si>
    <t>PSDS_2001_Cost_ID2</t>
  </si>
  <si>
    <t>PSDS_2002_Cost_ID3</t>
  </si>
  <si>
    <t>PSDS_2003_Cost_ID4</t>
  </si>
  <si>
    <t>PSDS_2004_Cost_ID5</t>
  </si>
  <si>
    <t>PSDS_2004_Cost_ID6</t>
  </si>
  <si>
    <t>PSDS_2005_Cost_ID7</t>
  </si>
  <si>
    <t>PSDS_2005_Cost_ID8</t>
  </si>
  <si>
    <t>PSDS_2006_Cost_ID9</t>
  </si>
  <si>
    <t>PSDS_2007_Cost_ID10</t>
  </si>
  <si>
    <t>PSDS_2008_Cost_ID11</t>
  </si>
  <si>
    <t>PSDS_2009_Cost_ID12</t>
  </si>
  <si>
    <t>PSDS_2009_Cost_ID13</t>
  </si>
  <si>
    <t>PSDS_2009_Cost_ID14</t>
  </si>
  <si>
    <t>PSDS_2010_Cost_ID15</t>
  </si>
  <si>
    <t>PSDS_2011_Cost_ID16</t>
  </si>
  <si>
    <t>PSDS_2011_Cost_ID17</t>
  </si>
  <si>
    <t>PSDS_2012_Cost_ID18</t>
  </si>
  <si>
    <t>PSDS_2013_Cost_ID19</t>
  </si>
  <si>
    <t>PSDS_2013_Cost_ID20</t>
  </si>
  <si>
    <t>PSDS_2013_Cost_ID21</t>
  </si>
  <si>
    <t>PSDS_2014_CostID_22</t>
  </si>
  <si>
    <t>PSDS_2014_CostID_23</t>
  </si>
  <si>
    <t>PSDS_2015_Cost_ID24</t>
  </si>
  <si>
    <t>PSDS_2016_Cost_ID25</t>
  </si>
  <si>
    <t>PSDS_2016_Cost_ID26</t>
  </si>
  <si>
    <t>PSDS_2017_Cost_ID27</t>
  </si>
  <si>
    <t>PSDS_2018_Cost_ID28</t>
  </si>
  <si>
    <t>PSDS_2018_Cost_ID29</t>
  </si>
  <si>
    <t>PSDS_2019_Cost_ID30</t>
  </si>
  <si>
    <t>PSDS_2020_Cost_ID31</t>
  </si>
  <si>
    <t>PSDS_2021_Cost_ID32</t>
  </si>
  <si>
    <t>PSDS_2022_Cost_ID33</t>
  </si>
  <si>
    <t>PSDS_2023_Cost_ID34</t>
  </si>
  <si>
    <t>Combined Yearly Costs</t>
  </si>
  <si>
    <t>2014_Cost</t>
  </si>
  <si>
    <t>2015_Cost</t>
  </si>
  <si>
    <t>2016_Cost</t>
  </si>
  <si>
    <t>2017_Cost</t>
  </si>
  <si>
    <t>2018_Cost</t>
  </si>
  <si>
    <t>2019_Cost</t>
  </si>
  <si>
    <t>2020_Cost</t>
  </si>
  <si>
    <t>2021_Cost</t>
  </si>
  <si>
    <t>2022_Cost</t>
  </si>
  <si>
    <t>Total_Cost_00_20</t>
  </si>
  <si>
    <t>Sea Bright</t>
  </si>
  <si>
    <t>SB</t>
  </si>
  <si>
    <t>Monmouth County</t>
  </si>
  <si>
    <t>Monmouth Beach</t>
  </si>
  <si>
    <t>MB</t>
  </si>
  <si>
    <t>Long Branch</t>
  </si>
  <si>
    <t>LB</t>
  </si>
  <si>
    <t>Deal</t>
  </si>
  <si>
    <t>DL</t>
  </si>
  <si>
    <t>Allenhurst</t>
  </si>
  <si>
    <t>AH</t>
  </si>
  <si>
    <t>Loch Arbour</t>
  </si>
  <si>
    <t>LA</t>
  </si>
  <si>
    <t>Loch Arbor</t>
  </si>
  <si>
    <t>Asbury Park</t>
  </si>
  <si>
    <t>AP</t>
  </si>
  <si>
    <t>Neptune Township (Ocean Grove)</t>
  </si>
  <si>
    <t>OG</t>
  </si>
  <si>
    <t>Ocean Grove</t>
  </si>
  <si>
    <t>Bradley Beach</t>
  </si>
  <si>
    <t>BB</t>
  </si>
  <si>
    <t>Avon by the Sea</t>
  </si>
  <si>
    <t>AV</t>
  </si>
  <si>
    <t>Avon-By-The-Sea</t>
  </si>
  <si>
    <t>Belmar</t>
  </si>
  <si>
    <t>BM</t>
  </si>
  <si>
    <t>Spring Lake</t>
  </si>
  <si>
    <t>SL</t>
  </si>
  <si>
    <t>Sea Girt</t>
  </si>
  <si>
    <t>SG</t>
  </si>
  <si>
    <t>Manasquan</t>
  </si>
  <si>
    <t>MS</t>
  </si>
  <si>
    <t>SH</t>
  </si>
  <si>
    <t>Atlantic County</t>
  </si>
  <si>
    <t>Atlantic City</t>
  </si>
  <si>
    <t>AC</t>
  </si>
  <si>
    <t>Ventnor City</t>
  </si>
  <si>
    <t>VC</t>
  </si>
  <si>
    <t>Margate City</t>
  </si>
  <si>
    <t>MC</t>
  </si>
  <si>
    <t>Longport</t>
  </si>
  <si>
    <t>LP</t>
  </si>
  <si>
    <t>Cape May County</t>
  </si>
  <si>
    <t>Strathmere (Upper Township)</t>
  </si>
  <si>
    <t>SM</t>
  </si>
  <si>
    <t>Strathmere</t>
  </si>
  <si>
    <t>Sea Isle City</t>
  </si>
  <si>
    <t>SIC</t>
  </si>
  <si>
    <t>SI</t>
  </si>
  <si>
    <t>Avalon</t>
  </si>
  <si>
    <t>AVL</t>
  </si>
  <si>
    <t>AL</t>
  </si>
  <si>
    <t>Stone Harbor</t>
  </si>
  <si>
    <t>INF_Rate_2000</t>
  </si>
  <si>
    <t>INF_Rate_2001</t>
  </si>
  <si>
    <t>INF_Rate_2002</t>
  </si>
  <si>
    <t>INF_Rate_2003</t>
  </si>
  <si>
    <t>INF_Rate_2004</t>
  </si>
  <si>
    <t>INF_Rate_2005</t>
  </si>
  <si>
    <t>INF_Rate_2006</t>
  </si>
  <si>
    <t>INF_Rate_2007</t>
  </si>
  <si>
    <t>INF_Rate_2008</t>
  </si>
  <si>
    <t>INF_Rate_2009</t>
  </si>
  <si>
    <t>INF_Rate_2010</t>
  </si>
  <si>
    <t>INF_Rate_2011</t>
  </si>
  <si>
    <t>INF_Rate_2012</t>
  </si>
  <si>
    <t>INF_Rate_2013</t>
  </si>
  <si>
    <t>INF_Rate_2014</t>
  </si>
  <si>
    <t>INF_Rate_2015</t>
  </si>
  <si>
    <t>INF_Rate_2016</t>
  </si>
  <si>
    <t>INF_Rate_2017</t>
  </si>
  <si>
    <t>INF_Rate_2018</t>
  </si>
  <si>
    <t>INF_Rate_2019</t>
  </si>
  <si>
    <t>INF_Rate_2020</t>
  </si>
  <si>
    <t>INF_Prop_2000</t>
  </si>
  <si>
    <t>INF_Prop_2001</t>
  </si>
  <si>
    <t>INF_Prop_2002</t>
  </si>
  <si>
    <t>INF_Prop_2003</t>
  </si>
  <si>
    <t>INF_Prop_2004</t>
  </si>
  <si>
    <t>INF_Prop_2005</t>
  </si>
  <si>
    <t>INF_Prop_2006</t>
  </si>
  <si>
    <t>INF_Prop_2007</t>
  </si>
  <si>
    <t>INF_Prop_2008</t>
  </si>
  <si>
    <t>INF_Prop_2009</t>
  </si>
  <si>
    <t>INF_Prop_2010</t>
  </si>
  <si>
    <t>INF_Prop_2011</t>
  </si>
  <si>
    <t>INF_Prop_2012</t>
  </si>
  <si>
    <t>INF_Prop_2013</t>
  </si>
  <si>
    <t>INF_Prop_2014</t>
  </si>
  <si>
    <t>INF_Prop_2015</t>
  </si>
  <si>
    <t>INF_Prop_2016</t>
  </si>
  <si>
    <t>INF_Prop_2017</t>
  </si>
  <si>
    <t>INF_Prop_2018</t>
  </si>
  <si>
    <t>INF_Prop_2019</t>
  </si>
  <si>
    <t>INF_Prop_2020</t>
  </si>
  <si>
    <t>Couplet</t>
  </si>
  <si>
    <t>Housing_Wealth_Diff</t>
  </si>
  <si>
    <t>Sand_Placed_m_Diff</t>
  </si>
  <si>
    <t>Beach_Width_20_Diff</t>
  </si>
  <si>
    <t>Beach_Width_00_Diff</t>
  </si>
  <si>
    <t>Efficiency_diff</t>
  </si>
  <si>
    <t>Home Values Adjusted For Inflation</t>
  </si>
  <si>
    <t>beach_change_diff</t>
  </si>
  <si>
    <t>Reference_Value_Efficiency</t>
  </si>
  <si>
    <t>Municipality_1999</t>
  </si>
  <si>
    <t>North_South_Order_1999</t>
  </si>
  <si>
    <t>Alongshore_Length_m_1999</t>
  </si>
  <si>
    <t>Avg_Beach_Width_m_1999</t>
  </si>
  <si>
    <t>Passive_Eff</t>
  </si>
  <si>
    <t>Efficiency_PSDS_DATA_99_20</t>
  </si>
  <si>
    <t>1999_to_2020_Beach_Width_Change</t>
  </si>
  <si>
    <t>Eff_diff_99_20</t>
  </si>
  <si>
    <t>Inflation Rates Calculated From Case Shiller Index (NYXRSA)</t>
  </si>
  <si>
    <t>2000 Beach Data</t>
  </si>
  <si>
    <t>2020 Beach Data</t>
  </si>
  <si>
    <t>1999 Beach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</si>
</sst>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2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7" fillId="5" borderId="0" xfId="0" applyFont="1" applyFill="1" applyAlignment="1">
      <alignment horizontal="center" vertical="center" textRotation="90" wrapText="1"/>
    </xf>
    <xf numFmtId="0" fontId="0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textRotation="90" wrapText="1"/>
    </xf>
    <xf numFmtId="0" fontId="4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textRotation="90" wrapText="1"/>
    </xf>
  </cellXfs>
  <cellStyles count="3">
    <cellStyle name="Calculation" xfId="1" builtinId="22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23"/>
  <sheetViews>
    <sheetView tabSelected="1" workbookViewId="0">
      <selection activeCell="GF1" sqref="GF1:GF1048576"/>
    </sheetView>
  </sheetViews>
  <sheetFormatPr defaultColWidth="9.140625" defaultRowHeight="15" x14ac:dyDescent="0.25"/>
  <cols>
    <col min="1" max="1" width="5.42578125" style="10" customWidth="1"/>
    <col min="2" max="2" width="18.7109375" style="10" bestFit="1" customWidth="1"/>
    <col min="3" max="3" width="4.5703125" style="10" customWidth="1"/>
    <col min="4" max="11" width="9.140625" style="10" customWidth="1"/>
    <col min="12" max="12" width="8.85546875" style="10" customWidth="1"/>
    <col min="13" max="13" width="9.140625" style="10"/>
    <col min="14" max="14" width="5.42578125" style="10" customWidth="1"/>
    <col min="15" max="25" width="9.140625" style="10"/>
    <col min="26" max="26" width="10.5703125" style="10" bestFit="1" customWidth="1"/>
    <col min="27" max="27" width="9.140625" style="16"/>
    <col min="28" max="48" width="11.28515625" style="10" customWidth="1"/>
    <col min="49" max="49" width="11.42578125" style="16" customWidth="1"/>
    <col min="50" max="70" width="11.28515625" style="10" customWidth="1"/>
    <col min="71" max="71" width="11.42578125" style="16" customWidth="1"/>
    <col min="72" max="92" width="11.28515625" style="10" customWidth="1"/>
    <col min="93" max="93" width="9.140625" style="9"/>
    <col min="94" max="98" width="9.140625" style="10"/>
    <col min="99" max="99" width="9.140625" style="9"/>
    <col min="100" max="105" width="9.140625" style="10"/>
    <col min="106" max="106" width="9.140625" style="9"/>
    <col min="107" max="107" width="14.5703125" style="10" customWidth="1"/>
    <col min="108" max="110" width="9.140625" style="10"/>
    <col min="111" max="111" width="7.28515625" style="10" customWidth="1"/>
    <col min="112" max="112" width="9.140625" style="10"/>
    <col min="113" max="113" width="9.140625" style="9"/>
    <col min="114" max="147" width="12.7109375" style="10" customWidth="1"/>
    <col min="148" max="151" width="9.140625" style="10"/>
    <col min="152" max="152" width="5.28515625" style="18" customWidth="1"/>
    <col min="153" max="187" width="10.5703125" style="10" customWidth="1"/>
    <col min="188" max="188" width="5.28515625" style="18" customWidth="1"/>
    <col min="189" max="198" width="8.42578125" style="10" customWidth="1"/>
    <col min="199" max="16384" width="9.140625" style="10"/>
  </cols>
  <sheetData>
    <row r="1" spans="1:198" s="2" customFormat="1" ht="196.9" customHeight="1" x14ac:dyDescent="0.25">
      <c r="A1" s="1" t="s">
        <v>0</v>
      </c>
      <c r="B1" s="2" t="s">
        <v>1</v>
      </c>
      <c r="C1" s="1" t="s">
        <v>2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223</v>
      </c>
      <c r="K1" s="1" t="s">
        <v>214</v>
      </c>
      <c r="L1" s="1" t="s">
        <v>3</v>
      </c>
      <c r="M1" s="1" t="s">
        <v>4</v>
      </c>
      <c r="N1" s="1" t="s">
        <v>5</v>
      </c>
      <c r="O1" s="2" t="s">
        <v>222</v>
      </c>
      <c r="P1" s="2" t="s">
        <v>6</v>
      </c>
      <c r="Q1" s="2" t="s">
        <v>7</v>
      </c>
      <c r="R1" s="2" t="s">
        <v>221</v>
      </c>
      <c r="S1" s="2" t="s">
        <v>8</v>
      </c>
      <c r="T1" s="2" t="s">
        <v>215</v>
      </c>
      <c r="U1" s="2" t="s">
        <v>220</v>
      </c>
      <c r="V1" s="2" t="s">
        <v>9</v>
      </c>
      <c r="W1" s="2" t="s">
        <v>10</v>
      </c>
      <c r="X1" s="1" t="s">
        <v>11</v>
      </c>
      <c r="Y1" s="2" t="s">
        <v>12</v>
      </c>
      <c r="Z1" s="2" t="s">
        <v>13</v>
      </c>
      <c r="AA1" s="15" t="s">
        <v>14</v>
      </c>
      <c r="AB1" s="3">
        <v>36738</v>
      </c>
      <c r="AC1" s="3">
        <v>37103</v>
      </c>
      <c r="AD1" s="3">
        <v>37468</v>
      </c>
      <c r="AE1" s="3">
        <v>37833</v>
      </c>
      <c r="AF1" s="3">
        <v>38199</v>
      </c>
      <c r="AG1" s="3">
        <v>38564</v>
      </c>
      <c r="AH1" s="3">
        <v>38929</v>
      </c>
      <c r="AI1" s="3">
        <v>39294</v>
      </c>
      <c r="AJ1" s="3">
        <v>39660</v>
      </c>
      <c r="AK1" s="3">
        <v>40025</v>
      </c>
      <c r="AL1" s="3">
        <v>40390</v>
      </c>
      <c r="AM1" s="3">
        <v>40755</v>
      </c>
      <c r="AN1" s="3">
        <v>41121</v>
      </c>
      <c r="AO1" s="3">
        <v>41486</v>
      </c>
      <c r="AP1" s="3">
        <v>41851</v>
      </c>
      <c r="AQ1" s="3">
        <v>42216</v>
      </c>
      <c r="AR1" s="3">
        <v>42582</v>
      </c>
      <c r="AS1" s="3">
        <v>42947</v>
      </c>
      <c r="AT1" s="3">
        <v>43312</v>
      </c>
      <c r="AU1" s="3">
        <v>43677</v>
      </c>
      <c r="AV1" s="3">
        <v>44043</v>
      </c>
      <c r="AW1" s="15" t="s">
        <v>224</v>
      </c>
      <c r="AX1" s="3" t="s">
        <v>165</v>
      </c>
      <c r="AY1" s="3" t="s">
        <v>166</v>
      </c>
      <c r="AZ1" s="3" t="s">
        <v>167</v>
      </c>
      <c r="BA1" s="3" t="s">
        <v>168</v>
      </c>
      <c r="BB1" s="3" t="s">
        <v>169</v>
      </c>
      <c r="BC1" s="3" t="s">
        <v>170</v>
      </c>
      <c r="BD1" s="3" t="s">
        <v>171</v>
      </c>
      <c r="BE1" s="3" t="s">
        <v>172</v>
      </c>
      <c r="BF1" s="3" t="s">
        <v>173</v>
      </c>
      <c r="BG1" s="3" t="s">
        <v>174</v>
      </c>
      <c r="BH1" s="3" t="s">
        <v>175</v>
      </c>
      <c r="BI1" s="3" t="s">
        <v>176</v>
      </c>
      <c r="BJ1" s="3" t="s">
        <v>177</v>
      </c>
      <c r="BK1" s="3" t="s">
        <v>178</v>
      </c>
      <c r="BL1" s="3" t="s">
        <v>179</v>
      </c>
      <c r="BM1" s="3" t="s">
        <v>180</v>
      </c>
      <c r="BN1" s="3" t="s">
        <v>181</v>
      </c>
      <c r="BO1" s="3" t="s">
        <v>182</v>
      </c>
      <c r="BP1" s="3" t="s">
        <v>183</v>
      </c>
      <c r="BQ1" s="3" t="s">
        <v>184</v>
      </c>
      <c r="BR1" s="3" t="s">
        <v>185</v>
      </c>
      <c r="BS1" s="15" t="s">
        <v>213</v>
      </c>
      <c r="BT1" s="3" t="s">
        <v>186</v>
      </c>
      <c r="BU1" s="3" t="s">
        <v>187</v>
      </c>
      <c r="BV1" s="3" t="s">
        <v>188</v>
      </c>
      <c r="BW1" s="3" t="s">
        <v>189</v>
      </c>
      <c r="BX1" s="3" t="s">
        <v>190</v>
      </c>
      <c r="BY1" s="3" t="s">
        <v>191</v>
      </c>
      <c r="BZ1" s="3" t="s">
        <v>192</v>
      </c>
      <c r="CA1" s="3" t="s">
        <v>193</v>
      </c>
      <c r="CB1" s="3" t="s">
        <v>194</v>
      </c>
      <c r="CC1" s="3" t="s">
        <v>195</v>
      </c>
      <c r="CD1" s="3" t="s">
        <v>196</v>
      </c>
      <c r="CE1" s="3" t="s">
        <v>197</v>
      </c>
      <c r="CF1" s="3" t="s">
        <v>198</v>
      </c>
      <c r="CG1" s="3" t="s">
        <v>199</v>
      </c>
      <c r="CH1" s="3" t="s">
        <v>200</v>
      </c>
      <c r="CI1" s="3" t="s">
        <v>201</v>
      </c>
      <c r="CJ1" s="3" t="s">
        <v>202</v>
      </c>
      <c r="CK1" s="3" t="s">
        <v>203</v>
      </c>
      <c r="CL1" s="3" t="s">
        <v>204</v>
      </c>
      <c r="CM1" s="3" t="s">
        <v>205</v>
      </c>
      <c r="CN1" s="3" t="s">
        <v>206</v>
      </c>
      <c r="CO1" s="17" t="s">
        <v>227</v>
      </c>
      <c r="CP1" s="4" t="s">
        <v>216</v>
      </c>
      <c r="CQ1" s="4" t="s">
        <v>217</v>
      </c>
      <c r="CR1" s="4" t="s">
        <v>218</v>
      </c>
      <c r="CS1" s="4" t="s">
        <v>18</v>
      </c>
      <c r="CT1" s="4" t="s">
        <v>219</v>
      </c>
      <c r="CU1" s="17" t="s">
        <v>225</v>
      </c>
      <c r="CV1" s="4" t="s">
        <v>15</v>
      </c>
      <c r="CW1" s="4" t="s">
        <v>16</v>
      </c>
      <c r="CX1" s="4" t="s">
        <v>17</v>
      </c>
      <c r="CY1" s="4" t="s">
        <v>18</v>
      </c>
      <c r="CZ1" s="4" t="s">
        <v>19</v>
      </c>
      <c r="DA1" s="4" t="s">
        <v>20</v>
      </c>
      <c r="DB1" s="17" t="s">
        <v>226</v>
      </c>
      <c r="DC1" s="4" t="s">
        <v>21</v>
      </c>
      <c r="DD1" s="4" t="s">
        <v>22</v>
      </c>
      <c r="DE1" s="4" t="s">
        <v>23</v>
      </c>
      <c r="DF1" s="4" t="s">
        <v>24</v>
      </c>
      <c r="DG1" s="4" t="s">
        <v>25</v>
      </c>
      <c r="DH1" s="4" t="s">
        <v>26</v>
      </c>
      <c r="DI1" s="17" t="s">
        <v>27</v>
      </c>
      <c r="DJ1" s="2" t="s">
        <v>28</v>
      </c>
      <c r="DK1" s="2" t="s">
        <v>29</v>
      </c>
      <c r="DL1" s="2" t="s">
        <v>30</v>
      </c>
      <c r="DM1" s="2" t="s">
        <v>31</v>
      </c>
      <c r="DN1" s="2" t="s">
        <v>32</v>
      </c>
      <c r="DO1" s="2" t="s">
        <v>33</v>
      </c>
      <c r="DP1" s="2" t="s">
        <v>34</v>
      </c>
      <c r="DQ1" s="2" t="s">
        <v>35</v>
      </c>
      <c r="DR1" s="2" t="s">
        <v>36</v>
      </c>
      <c r="DS1" s="2" t="s">
        <v>37</v>
      </c>
      <c r="DT1" s="2" t="s">
        <v>38</v>
      </c>
      <c r="DU1" s="2" t="s">
        <v>39</v>
      </c>
      <c r="DV1" s="2" t="s">
        <v>40</v>
      </c>
      <c r="DW1" s="2" t="s">
        <v>41</v>
      </c>
      <c r="DX1" s="2" t="s">
        <v>42</v>
      </c>
      <c r="DY1" s="2" t="s">
        <v>43</v>
      </c>
      <c r="DZ1" s="2" t="s">
        <v>44</v>
      </c>
      <c r="EA1" s="2" t="s">
        <v>45</v>
      </c>
      <c r="EB1" s="2" t="s">
        <v>46</v>
      </c>
      <c r="EC1" s="2" t="s">
        <v>47</v>
      </c>
      <c r="ED1" s="2" t="s">
        <v>48</v>
      </c>
      <c r="EE1" s="2" t="s">
        <v>49</v>
      </c>
      <c r="EF1" s="2" t="s">
        <v>50</v>
      </c>
      <c r="EG1" s="2" t="s">
        <v>51</v>
      </c>
      <c r="EH1" s="2" t="s">
        <v>52</v>
      </c>
      <c r="EI1" s="2" t="s">
        <v>53</v>
      </c>
      <c r="EJ1" s="2" t="s">
        <v>54</v>
      </c>
      <c r="EK1" s="2" t="s">
        <v>55</v>
      </c>
      <c r="EL1" s="2" t="s">
        <v>56</v>
      </c>
      <c r="EM1" s="2" t="s">
        <v>57</v>
      </c>
      <c r="EN1" s="2" t="s">
        <v>58</v>
      </c>
      <c r="EO1" s="2" t="s">
        <v>59</v>
      </c>
      <c r="EP1" s="2" t="s">
        <v>60</v>
      </c>
      <c r="EQ1" s="2" t="s">
        <v>61</v>
      </c>
      <c r="ER1" s="5" t="s">
        <v>62</v>
      </c>
      <c r="ES1" s="5" t="s">
        <v>63</v>
      </c>
      <c r="ET1" s="5" t="s">
        <v>64</v>
      </c>
      <c r="EU1" s="5" t="s">
        <v>65</v>
      </c>
      <c r="EV1" s="19" t="s">
        <v>66</v>
      </c>
      <c r="EW1" s="2" t="s">
        <v>67</v>
      </c>
      <c r="EX1" s="2" t="s">
        <v>68</v>
      </c>
      <c r="EY1" s="2" t="s">
        <v>69</v>
      </c>
      <c r="EZ1" s="2" t="s">
        <v>70</v>
      </c>
      <c r="FA1" s="2" t="s">
        <v>71</v>
      </c>
      <c r="FB1" s="2" t="s">
        <v>72</v>
      </c>
      <c r="FC1" s="2" t="s">
        <v>73</v>
      </c>
      <c r="FD1" s="2" t="s">
        <v>74</v>
      </c>
      <c r="FE1" s="2" t="s">
        <v>75</v>
      </c>
      <c r="FF1" s="2" t="s">
        <v>76</v>
      </c>
      <c r="FG1" s="2" t="s">
        <v>77</v>
      </c>
      <c r="FH1" s="2" t="s">
        <v>78</v>
      </c>
      <c r="FI1" s="2" t="s">
        <v>79</v>
      </c>
      <c r="FJ1" s="2" t="s">
        <v>80</v>
      </c>
      <c r="FK1" s="2" t="s">
        <v>81</v>
      </c>
      <c r="FL1" s="2" t="s">
        <v>82</v>
      </c>
      <c r="FM1" s="2" t="s">
        <v>83</v>
      </c>
      <c r="FN1" s="2" t="s">
        <v>83</v>
      </c>
      <c r="FO1" s="2" t="s">
        <v>84</v>
      </c>
      <c r="FP1" s="2" t="s">
        <v>85</v>
      </c>
      <c r="FQ1" s="2" t="s">
        <v>86</v>
      </c>
      <c r="FR1" s="2" t="s">
        <v>87</v>
      </c>
      <c r="FS1" s="2" t="s">
        <v>88</v>
      </c>
      <c r="FT1" s="2" t="s">
        <v>89</v>
      </c>
      <c r="FU1" s="2" t="s">
        <v>90</v>
      </c>
      <c r="FV1" s="2" t="s">
        <v>91</v>
      </c>
      <c r="FW1" s="2" t="s">
        <v>92</v>
      </c>
      <c r="FX1" s="2" t="s">
        <v>93</v>
      </c>
      <c r="FY1" s="2" t="s">
        <v>94</v>
      </c>
      <c r="FZ1" s="2" t="s">
        <v>95</v>
      </c>
      <c r="GA1" s="2" t="s">
        <v>96</v>
      </c>
      <c r="GB1" s="2" t="s">
        <v>97</v>
      </c>
      <c r="GC1" s="2" t="s">
        <v>98</v>
      </c>
      <c r="GD1" s="2" t="s">
        <v>99</v>
      </c>
      <c r="GE1" s="2" t="s">
        <v>100</v>
      </c>
      <c r="GF1" s="19" t="s">
        <v>101</v>
      </c>
      <c r="GG1" s="2" t="s">
        <v>102</v>
      </c>
      <c r="GH1" s="2" t="s">
        <v>103</v>
      </c>
      <c r="GI1" s="2" t="s">
        <v>104</v>
      </c>
      <c r="GJ1" s="2" t="s">
        <v>105</v>
      </c>
      <c r="GK1" s="2" t="s">
        <v>106</v>
      </c>
      <c r="GL1" s="2" t="s">
        <v>107</v>
      </c>
      <c r="GM1" s="2" t="s">
        <v>108</v>
      </c>
      <c r="GN1" s="2" t="s">
        <v>109</v>
      </c>
      <c r="GO1" s="2" t="s">
        <v>110</v>
      </c>
      <c r="GP1" s="2" t="s">
        <v>111</v>
      </c>
    </row>
    <row r="2" spans="1:198" s="6" customFormat="1" x14ac:dyDescent="0.25">
      <c r="A2" s="6">
        <v>1</v>
      </c>
      <c r="B2" s="6" t="s">
        <v>112</v>
      </c>
      <c r="C2" s="6" t="s">
        <v>113</v>
      </c>
      <c r="L2" s="6" t="s">
        <v>114</v>
      </c>
      <c r="N2" s="6">
        <v>10</v>
      </c>
      <c r="O2" s="7">
        <f>DG2-CT2</f>
        <v>-10.715546099785499</v>
      </c>
      <c r="P2" s="7">
        <f t="shared" ref="P2:P23" si="0">DG2-CZ2</f>
        <v>-5.0333239513104928</v>
      </c>
      <c r="Q2" s="6">
        <f t="shared" ref="Q2:Q23" si="1">(2*ES2)/$N2/$DA2</f>
        <v>130.36319434637471</v>
      </c>
      <c r="R2" s="6">
        <f>IF(AND(Q2=0,O2&gt;0),U2,IF(AND(Q2=0,O2&lt;=0),"NaN",(O2+T2)/(Q2+T2)))</f>
        <v>0.73399598247003706</v>
      </c>
      <c r="S2" s="6">
        <f>IF(AND(Q2=0,P2&gt;0),U2,IF(AND(Q2=0,P2&lt;=0),"NaN",(P2+T2)/(Q2+T2)))</f>
        <v>0.74470981444225348</v>
      </c>
      <c r="T2" s="6">
        <v>400</v>
      </c>
      <c r="U2" s="6">
        <v>1.1000000000000001</v>
      </c>
      <c r="V2" s="6">
        <f t="shared" ref="V2:V23" si="2">COUNT(DJ2:EN2)</f>
        <v>4</v>
      </c>
      <c r="W2" s="6">
        <f>IF(V2=0,"NaN",20/V2)</f>
        <v>5</v>
      </c>
      <c r="Y2" s="8">
        <f>IF(SUM(BT2:CN2)=0,"NaN",MEDIAN(BT2:CN2))</f>
        <v>544534.73606101121</v>
      </c>
      <c r="Z2" s="8">
        <f>IF(SUM(BT2:CN2)=0,"NaN",AVERAGE(BT2:CN2))</f>
        <v>542451.43390513607</v>
      </c>
      <c r="AA2" s="16"/>
      <c r="AB2" s="8">
        <v>228801.21858717501</v>
      </c>
      <c r="AC2" s="8">
        <v>280428.51545453502</v>
      </c>
      <c r="AD2" s="8">
        <v>323761.77545074502</v>
      </c>
      <c r="AE2" s="8">
        <v>400262.82146768598</v>
      </c>
      <c r="AF2" s="8">
        <v>461575.49858155602</v>
      </c>
      <c r="AG2" s="8">
        <v>555279.82920655597</v>
      </c>
      <c r="AH2" s="8">
        <v>611809.70313565899</v>
      </c>
      <c r="AI2" s="8">
        <v>582832.43525294599</v>
      </c>
      <c r="AJ2" s="8">
        <v>551857.92126612598</v>
      </c>
      <c r="AK2" s="8">
        <v>522588.54784927698</v>
      </c>
      <c r="AL2" s="8">
        <v>505739.90969181102</v>
      </c>
      <c r="AM2" s="8">
        <v>493661.19621207699</v>
      </c>
      <c r="AN2" s="8">
        <v>456395.93834361801</v>
      </c>
      <c r="AO2" s="8">
        <v>442361.26518570201</v>
      </c>
      <c r="AP2" s="8">
        <v>425561.51102366502</v>
      </c>
      <c r="AQ2" s="8">
        <v>429516.48760621098</v>
      </c>
      <c r="AR2" s="8">
        <v>452847.34472695098</v>
      </c>
      <c r="AS2" s="8">
        <v>498676.86314527201</v>
      </c>
      <c r="AT2" s="8">
        <v>526799.21184275905</v>
      </c>
      <c r="AU2" s="8">
        <v>538354.67364760803</v>
      </c>
      <c r="AV2" s="8">
        <v>568581.81131877203</v>
      </c>
      <c r="AW2" s="16"/>
      <c r="AX2" s="13">
        <v>3.2888721496165063E-2</v>
      </c>
      <c r="AY2" s="13">
        <v>2.8843039908195367E-2</v>
      </c>
      <c r="AZ2" s="13">
        <v>2.3508826348185297E-2</v>
      </c>
      <c r="BA2" s="13">
        <v>1.727558717854083E-2</v>
      </c>
      <c r="BB2" s="13">
        <v>9.7904355801925469E-3</v>
      </c>
      <c r="BC2" s="13">
        <v>1.8178580442596015E-3</v>
      </c>
      <c r="BD2" s="13">
        <v>-3.3449229627590116E-3</v>
      </c>
      <c r="BE2" s="13">
        <v>-1.1079319634054174E-3</v>
      </c>
      <c r="BF2" s="13">
        <v>4.8934098997499564E-3</v>
      </c>
      <c r="BG2" s="13">
        <v>1.5235248091937992E-2</v>
      </c>
      <c r="BH2" s="13">
        <v>1.6126764918219072E-2</v>
      </c>
      <c r="BI2" s="13">
        <v>2.1540722483505803E-2</v>
      </c>
      <c r="BJ2" s="13">
        <v>2.7613026747848268E-2</v>
      </c>
      <c r="BK2" s="13">
        <v>2.6978579088403398E-2</v>
      </c>
      <c r="BL2" s="13">
        <v>2.5079662791946955E-2</v>
      </c>
      <c r="BM2" s="13">
        <v>2.5870185947085789E-2</v>
      </c>
      <c r="BN2" s="13">
        <v>2.6893536703573639E-2</v>
      </c>
      <c r="BO2" s="13">
        <v>2.3026535336124088E-2</v>
      </c>
      <c r="BP2" s="13">
        <v>1.6693942729572031E-2</v>
      </c>
      <c r="BQ2" s="13">
        <v>2.2786008601595631E-2</v>
      </c>
      <c r="BR2" s="13">
        <v>0</v>
      </c>
      <c r="BS2" s="16"/>
      <c r="BT2" s="8">
        <f>IF(AB2=0,"NaN",AB2*(1+AX2)^20)</f>
        <v>437047.89983603318</v>
      </c>
      <c r="BU2" s="8">
        <f>IF(AC2=0,"NaN",AC2*(1+AY2)^19)</f>
        <v>481343.96121527266</v>
      </c>
      <c r="BV2" s="8">
        <f>IF(AD2=0,"NaN",AD2*(1+AZ2)^18)</f>
        <v>491897.0665738777</v>
      </c>
      <c r="BW2" s="8">
        <f>IF(AE2=0,"NaN",AE2*(1+BA2)^17)</f>
        <v>535552.22979510599</v>
      </c>
      <c r="BX2" s="8">
        <f>IF(AF2=0,"NaN",AF2*(1+BB2)^16)</f>
        <v>539439.56134065182</v>
      </c>
      <c r="BY2" s="8">
        <f>IF(AG2=0,"NaN",AG2*(1+BC2)^15)</f>
        <v>570615.32696214749</v>
      </c>
      <c r="BZ2" s="8">
        <f>IF(AH2=0,"NaN",AH2*(1+BD2)^14)</f>
        <v>583773.97303465439</v>
      </c>
      <c r="CA2" s="8">
        <f>IF(AI2=0,"NaN",AI2*(1+BE2)^13)</f>
        <v>574493.41017788975</v>
      </c>
      <c r="CB2" s="8">
        <f>IF(AJ2=0,"NaN",AJ2*(1+BF2)^12)</f>
        <v>585150.06585051666</v>
      </c>
      <c r="CC2" s="8">
        <f>IF(AK2=0,"NaN",AK2*(1+BG2)^11)</f>
        <v>617153.86435670685</v>
      </c>
      <c r="CD2" s="8">
        <f>IF(AL2=0,"NaN",AL2*(1+BH2)^10)</f>
        <v>593480.06500070903</v>
      </c>
      <c r="CE2" s="8">
        <f>IF(AM2=0,"NaN",AM2*(1+BI2)^9)</f>
        <v>598039.88137875928</v>
      </c>
      <c r="CF2" s="8">
        <f>IF(AN2=0,"NaN",AN2*(1+BJ2)^8)</f>
        <v>567516.6129967639</v>
      </c>
      <c r="CG2" s="8">
        <f>IF(AO2=0,"NaN",AO2*(1+BK2)^7)</f>
        <v>532974.93730633985</v>
      </c>
      <c r="CH2" s="8">
        <f>IF(AP2=0,"NaN",AP2*(1+BL2)^6)</f>
        <v>493751.06615651085</v>
      </c>
      <c r="CI2" s="8">
        <f>IF(AQ2=0,"NaN",AQ2*(1+BM2)^5)</f>
        <v>488024.7882820791</v>
      </c>
      <c r="CJ2" s="8">
        <f>IF(AR2=0,"NaN",AR2*(1+BN2)^4)</f>
        <v>503562.64636123501</v>
      </c>
      <c r="CK2" s="8">
        <f>IF(AS2=0,"NaN",AS2*(1+BO2)^3)</f>
        <v>533924.58013077092</v>
      </c>
      <c r="CL2" s="8">
        <f>IF(AT2=0,"NaN",AT2*(1+BP2)^2)</f>
        <v>544534.73606101121</v>
      </c>
      <c r="CM2" s="8">
        <f>IF(AU2=0,"NaN",AU2*(1+BQ2)^1)</f>
        <v>550621.62787205167</v>
      </c>
      <c r="CN2" s="8">
        <f>IF(AV2=0,"NaN",AV2*(1+BR2)^0)</f>
        <v>568581.81131877203</v>
      </c>
      <c r="CO2" s="9"/>
      <c r="CP2" s="10" t="s">
        <v>112</v>
      </c>
      <c r="CQ2" s="10">
        <v>1</v>
      </c>
      <c r="CR2" s="10">
        <v>5964.3263999999999</v>
      </c>
      <c r="CS2" s="10">
        <v>592895</v>
      </c>
      <c r="CT2" s="10">
        <v>99</v>
      </c>
      <c r="CU2" s="9"/>
      <c r="CV2" s="10" t="s">
        <v>112</v>
      </c>
      <c r="CW2" s="10" t="s">
        <v>113</v>
      </c>
      <c r="CX2" s="10">
        <v>1</v>
      </c>
      <c r="CY2" s="10">
        <v>556577.68602918601</v>
      </c>
      <c r="CZ2" s="10">
        <v>93.317777851524994</v>
      </c>
      <c r="DA2" s="10">
        <v>5964.3263999999999</v>
      </c>
      <c r="DB2" s="9"/>
      <c r="DC2" s="10" t="s">
        <v>112</v>
      </c>
      <c r="DD2" s="10" t="s">
        <v>113</v>
      </c>
      <c r="DE2" s="11">
        <v>526557.28225679905</v>
      </c>
      <c r="DF2" s="10">
        <v>1</v>
      </c>
      <c r="DG2" s="11">
        <v>88.284453900214501</v>
      </c>
      <c r="DH2" s="11">
        <v>5964.32620914156</v>
      </c>
      <c r="DI2" s="9"/>
      <c r="DL2" s="8">
        <f>2100000*($DH$2/($DH$2+$DH$3))</f>
        <v>1453686.1468798644</v>
      </c>
      <c r="DT2" s="8"/>
      <c r="DU2" s="8"/>
      <c r="DV2" s="8"/>
      <c r="DW2" s="8"/>
      <c r="DX2" s="8"/>
      <c r="EB2" s="6">
        <f>2460000*($DH$2/($DH$2+$DH$3))</f>
        <v>1702889.486344984</v>
      </c>
      <c r="EH2" s="6">
        <f t="shared" ref="EH2:EH15" si="3">8000000*($DH2/(SUM($DH$2:$DH$15)))</f>
        <v>1428347.2326137358</v>
      </c>
      <c r="EN2" s="6">
        <f t="shared" ref="EN2:EN15" si="4">2800000*($DH2/(SUM($DH$2:$DH$15)))</f>
        <v>499921.53141480754</v>
      </c>
      <c r="ER2" s="6">
        <f t="shared" ref="ER2:ER15" si="5">SUM(DJ2:EN2)</f>
        <v>5084844.3972533923</v>
      </c>
      <c r="ES2" s="6">
        <f>ER2*0.764555</f>
        <v>3887643.2081420673</v>
      </c>
      <c r="ET2" s="6">
        <f t="shared" ref="ET2:ET23" si="6">ER2/SUM(ER$2:ER$23)</f>
        <v>9.7393486615645203E-2</v>
      </c>
      <c r="EU2" s="6">
        <f t="shared" ref="EU2:EU23" si="7">ES2/DH2</f>
        <v>651.81599258998483</v>
      </c>
      <c r="EV2" s="18"/>
      <c r="EY2" s="6">
        <f>25590800*($DH$2/($DH$2+$DH$3))</f>
        <v>17714757.832177732</v>
      </c>
      <c r="FP2" s="6">
        <f>25590800*($DH$2/($DH$2+$DH$3))</f>
        <v>17714757.832177732</v>
      </c>
      <c r="GB2" s="6">
        <f t="shared" ref="GB2:GB15" si="8">55100000*($DH2/(SUM($DH$2:$DH$15)))</f>
        <v>9837741.5646271054</v>
      </c>
      <c r="GF2" s="18"/>
      <c r="GG2" s="6">
        <f>FS2+FT2</f>
        <v>0</v>
      </c>
      <c r="GH2" s="6">
        <f>FU2</f>
        <v>0</v>
      </c>
      <c r="GI2" s="6">
        <f>FV2+FW2</f>
        <v>0</v>
      </c>
      <c r="GJ2" s="6">
        <f>FX2</f>
        <v>0</v>
      </c>
      <c r="GK2" s="6">
        <f>FY2+FZ2</f>
        <v>0</v>
      </c>
      <c r="GL2" s="6">
        <f>GA2</f>
        <v>0</v>
      </c>
      <c r="GM2" s="6">
        <f>GB2</f>
        <v>9837741.5646271054</v>
      </c>
      <c r="GN2" s="6">
        <f>GC2</f>
        <v>0</v>
      </c>
      <c r="GO2" s="6">
        <f>GD2</f>
        <v>0</v>
      </c>
      <c r="GP2" s="6">
        <f>SUM(EW2:GB2)</f>
        <v>45267257.228982568</v>
      </c>
    </row>
    <row r="3" spans="1:198" x14ac:dyDescent="0.25">
      <c r="A3" s="10">
        <v>2</v>
      </c>
      <c r="B3" s="10" t="s">
        <v>115</v>
      </c>
      <c r="C3" s="10" t="s">
        <v>116</v>
      </c>
      <c r="D3" s="10" t="str">
        <f>C3&amp;"/"&amp;C2</f>
        <v>MB/SB</v>
      </c>
      <c r="E3" s="10">
        <f>IF(Z3&gt;Z2,Z3-Z2,Z2-Z3)</f>
        <v>33173.918904179358</v>
      </c>
      <c r="F3" s="10">
        <f t="shared" ref="F3:F15" si="9">IF(Z3&gt;Z2,EU3-EU2,EU2-EU3)</f>
        <v>247.95506419908065</v>
      </c>
      <c r="G3" s="10">
        <f t="shared" ref="G3:G15" si="10">IF(Z3&gt;Z2,DG3-DG2,DG2-DG3)</f>
        <v>-8.5429890651072071</v>
      </c>
      <c r="H3" s="10">
        <f t="shared" ref="H3:H15" si="11">IF(Z3&gt;Z2,CZ3-CZ2,CZ2-CZ3)</f>
        <v>11.313583748068012</v>
      </c>
      <c r="I3" s="10">
        <f>IF(Z3&gt;Z2,S3-S2,S2-S3)</f>
        <v>-9.7917189069521626E-2</v>
      </c>
      <c r="J3" s="10">
        <f>IF(Z3&gt;Z2,R3-R2,R2-R3)</f>
        <v>-7.232052408004308E-2</v>
      </c>
      <c r="K3" s="10">
        <f t="shared" ref="K3:K15" si="12">IF(Z3&gt;Z2,P3-P2,P2-P3)</f>
        <v>-19.856572813175219</v>
      </c>
      <c r="L3" s="10" t="s">
        <v>114</v>
      </c>
      <c r="N3" s="10">
        <f>N2</f>
        <v>10</v>
      </c>
      <c r="O3" s="10">
        <f t="shared" ref="O3:O23" si="13">DG3-CT3</f>
        <v>-16.258535164892706</v>
      </c>
      <c r="P3" s="10">
        <f t="shared" si="0"/>
        <v>-24.889896764485712</v>
      </c>
      <c r="Q3" s="10">
        <f t="shared" si="1"/>
        <v>179.95420559927831</v>
      </c>
      <c r="R3" s="10">
        <f t="shared" ref="R3:R23" si="14">IF(AND(Q3=0,O3&gt;0),U3,IF(AND(Q3=0,O3&lt;=0),"NaN",(O3+T3)/(Q3+T3)))</f>
        <v>0.66167545838999398</v>
      </c>
      <c r="S3" s="6">
        <f t="shared" ref="S3:S23" si="15">IF(AND(Q3=0,P3&gt;0),U3,IF(AND(Q3=0,P3&lt;=0),"NaN",(P3+T3)/(Q3+T3)))</f>
        <v>0.64679262537273186</v>
      </c>
      <c r="T3" s="6">
        <v>400</v>
      </c>
      <c r="U3" s="6">
        <v>1.1000000000000001</v>
      </c>
      <c r="V3" s="10">
        <f t="shared" si="2"/>
        <v>6</v>
      </c>
      <c r="W3" s="10">
        <f t="shared" ref="W3:W23" si="16">IF(V3=0,"NaN",20/V3)</f>
        <v>3.3333333333333335</v>
      </c>
      <c r="Y3" s="11">
        <f t="shared" ref="Y3:Y23" si="17">IF(SUM(BT3:CN3)=0,"NaN",MEDIAN(BT3:CN3))</f>
        <v>592521.23191284621</v>
      </c>
      <c r="Z3" s="11">
        <f t="shared" ref="Z3:Z23" si="18">IF(SUM(BT3:CN3)=0,"NaN",AVERAGE(BT3:CN3))</f>
        <v>575625.35280931543</v>
      </c>
      <c r="AB3" s="11">
        <v>233156.027987093</v>
      </c>
      <c r="AC3" s="11">
        <v>286556.86684956198</v>
      </c>
      <c r="AD3" s="11">
        <v>317548.15614818397</v>
      </c>
      <c r="AE3" s="11">
        <v>380059.14606495202</v>
      </c>
      <c r="AF3" s="11">
        <v>423378.70386886701</v>
      </c>
      <c r="AG3" s="11">
        <v>520058.30453693098</v>
      </c>
      <c r="AH3" s="11">
        <v>584519.70161607803</v>
      </c>
      <c r="AI3" s="11">
        <v>564969.09063208499</v>
      </c>
      <c r="AJ3" s="11">
        <v>542820.94903709495</v>
      </c>
      <c r="AK3" s="11">
        <v>516972.73678475799</v>
      </c>
      <c r="AL3" s="11">
        <v>533913.00905989297</v>
      </c>
      <c r="AM3" s="11">
        <v>519253.77793985402</v>
      </c>
      <c r="AN3" s="11">
        <v>486150.95270294102</v>
      </c>
      <c r="AO3" s="11">
        <v>488785.17184673098</v>
      </c>
      <c r="AP3" s="11">
        <v>517544.141342544</v>
      </c>
      <c r="AQ3" s="11">
        <v>521485.06484513002</v>
      </c>
      <c r="AR3" s="11">
        <v>548495.63596727396</v>
      </c>
      <c r="AS3" s="11">
        <v>578127.26938555005</v>
      </c>
      <c r="AT3" s="11">
        <v>624892.70066150196</v>
      </c>
      <c r="AU3" s="11">
        <v>640905.43805827596</v>
      </c>
      <c r="AV3" s="11">
        <v>657640.34498000704</v>
      </c>
      <c r="AX3" s="14">
        <v>3.2888721496165063E-2</v>
      </c>
      <c r="AY3" s="14">
        <v>2.8843039908195367E-2</v>
      </c>
      <c r="AZ3" s="14">
        <v>2.3508826348185297E-2</v>
      </c>
      <c r="BA3" s="14">
        <v>1.727558717854083E-2</v>
      </c>
      <c r="BB3" s="14">
        <v>9.7904355801925469E-3</v>
      </c>
      <c r="BC3" s="14">
        <v>1.8178580442596015E-3</v>
      </c>
      <c r="BD3" s="14">
        <v>-3.3449229627590116E-3</v>
      </c>
      <c r="BE3" s="14">
        <v>-1.1079319634054174E-3</v>
      </c>
      <c r="BF3" s="14">
        <v>4.8934098997499564E-3</v>
      </c>
      <c r="BG3" s="14">
        <v>1.5235248091937992E-2</v>
      </c>
      <c r="BH3" s="14">
        <v>1.6126764918219072E-2</v>
      </c>
      <c r="BI3" s="14">
        <v>2.1540722483505803E-2</v>
      </c>
      <c r="BJ3" s="14">
        <v>2.7613026747848268E-2</v>
      </c>
      <c r="BK3" s="14">
        <v>2.6978579088403398E-2</v>
      </c>
      <c r="BL3" s="14">
        <v>2.5079662791946955E-2</v>
      </c>
      <c r="BM3" s="14">
        <v>2.5870185947085789E-2</v>
      </c>
      <c r="BN3" s="14">
        <v>2.6893536703573639E-2</v>
      </c>
      <c r="BO3" s="14">
        <v>2.3026535336124088E-2</v>
      </c>
      <c r="BP3" s="14">
        <v>1.6693942729572031E-2</v>
      </c>
      <c r="BQ3" s="14">
        <v>2.2786008601595631E-2</v>
      </c>
      <c r="BR3" s="14">
        <v>0</v>
      </c>
      <c r="BT3" s="11">
        <f t="shared" ref="BT3:BT23" si="19">IF(AB3=0,"NaN",AB3*(1+AX3)^20)</f>
        <v>445366.30090999953</v>
      </c>
      <c r="BU3" s="11">
        <f t="shared" ref="BU3:BU23" si="20">IF(AC3=0,"NaN",AC3*(1+AY3)^19)</f>
        <v>491863.02319946548</v>
      </c>
      <c r="BV3" s="11">
        <f t="shared" ref="BV3:BV23" si="21">IF(AD3=0,"NaN",AD3*(1+AZ3)^18)</f>
        <v>482456.60343247885</v>
      </c>
      <c r="BW3" s="11">
        <f t="shared" ref="BW3:BW23" si="22">IF(AE3=0,"NaN",AE3*(1+BA3)^17)</f>
        <v>508519.68309912406</v>
      </c>
      <c r="BX3" s="11">
        <f t="shared" ref="BX3:BX23" si="23">IF(AF3=0,"NaN",AF3*(1+BB3)^16)</f>
        <v>494799.27552012703</v>
      </c>
      <c r="BY3" s="11">
        <f t="shared" ref="BY3:BY23" si="24">IF(AG3=0,"NaN",AG3*(1+BC3)^15)</f>
        <v>534421.06821483898</v>
      </c>
      <c r="BZ3" s="11">
        <f t="shared" ref="BZ3:BZ23" si="25">IF(AH3=0,"NaN",AH3*(1+BD3)^14)</f>
        <v>557734.5157825764</v>
      </c>
      <c r="CA3" s="11">
        <f t="shared" ref="CA3:CA23" si="26">IF(AI3=0,"NaN",AI3*(1+BE3)^13)</f>
        <v>556885.6499578061</v>
      </c>
      <c r="CB3" s="11">
        <f t="shared" ref="CB3:CB23" si="27">IF(AJ3=0,"NaN",AJ3*(1+BF3)^12)</f>
        <v>575567.91673000646</v>
      </c>
      <c r="CC3" s="11">
        <f t="shared" ref="CC3:CC23" si="28">IF(AK3=0,"NaN",AK3*(1+BG3)^11)</f>
        <v>610521.84091450041</v>
      </c>
      <c r="CD3" s="11">
        <f t="shared" ref="CD3:CD23" si="29">IF(AL3=0,"NaN",AL3*(1+BH3)^10)</f>
        <v>626540.87852129852</v>
      </c>
      <c r="CE3" s="11">
        <f t="shared" ref="CE3:CE23" si="30">IF(AM3=0,"NaN",AM3*(1+BI3)^9)</f>
        <v>629043.70476632961</v>
      </c>
      <c r="CF3" s="11">
        <f t="shared" ref="CF3:CF23" si="31">IF(AN3=0,"NaN",AN3*(1+BJ3)^8)</f>
        <v>604516.20819508785</v>
      </c>
      <c r="CG3" s="11">
        <f t="shared" ref="CG3:CG23" si="32">IF(AO3=0,"NaN",AO3*(1+BK3)^7)</f>
        <v>588908.35799540125</v>
      </c>
      <c r="CH3" s="11">
        <f t="shared" ref="CH3:CH23" si="33">IF(AP3=0,"NaN",AP3*(1+BL3)^6)</f>
        <v>600472.46978763281</v>
      </c>
      <c r="CI3" s="11">
        <f t="shared" ref="CI3:CI23" si="34">IF(AQ3=0,"NaN",AQ3*(1+BM3)^5)</f>
        <v>592521.23191284621</v>
      </c>
      <c r="CJ3" s="11">
        <f t="shared" ref="CJ3:CJ23" si="35">IF(AR3=0,"NaN",AR3*(1+BN3)^4)</f>
        <v>609922.78563940327</v>
      </c>
      <c r="CK3" s="11">
        <f t="shared" ref="CK3:CK23" si="36">IF(AS3=0,"NaN",AS3*(1+BO3)^3)</f>
        <v>618990.73805416736</v>
      </c>
      <c r="CL3" s="11">
        <f t="shared" ref="CL3:CL23" si="37">IF(AT3=0,"NaN",AT3*(1+BP3)^2)</f>
        <v>645930.69649984641</v>
      </c>
      <c r="CM3" s="11">
        <f t="shared" ref="CM3:CM23" si="38">IF(AU3=0,"NaN",AU3*(1+BQ3)^1)</f>
        <v>655509.11488268129</v>
      </c>
      <c r="CN3" s="11">
        <f t="shared" ref="CN3:CN23" si="39">IF(AV3=0,"NaN",AV3*(1+BR3)^0)</f>
        <v>657640.34498000704</v>
      </c>
      <c r="CP3" s="10" t="s">
        <v>115</v>
      </c>
      <c r="CQ3" s="10">
        <v>2</v>
      </c>
      <c r="CR3" s="10">
        <v>2651.76</v>
      </c>
      <c r="CS3" s="10">
        <v>253333</v>
      </c>
      <c r="CT3" s="10">
        <v>96</v>
      </c>
      <c r="CV3" s="10" t="s">
        <v>115</v>
      </c>
      <c r="CW3" s="10" t="s">
        <v>116</v>
      </c>
      <c r="CX3" s="10">
        <v>2</v>
      </c>
      <c r="CY3" s="10">
        <v>277457.25943533902</v>
      </c>
      <c r="CZ3" s="10">
        <v>104.63136159959301</v>
      </c>
      <c r="DA3" s="10">
        <v>2651.76</v>
      </c>
      <c r="DC3" s="10" t="s">
        <v>115</v>
      </c>
      <c r="DD3" s="10" t="s">
        <v>116</v>
      </c>
      <c r="DE3" s="11">
        <v>211455.22002457699</v>
      </c>
      <c r="DF3" s="10">
        <v>2</v>
      </c>
      <c r="DG3" s="11">
        <v>79.741464835107294</v>
      </c>
      <c r="DH3" s="11">
        <v>2651.7599151436798</v>
      </c>
      <c r="DL3" s="11">
        <f>2100000*($DH$3/($DH$3+$DH$2))</f>
        <v>646313.85312013538</v>
      </c>
      <c r="DT3" s="11"/>
      <c r="DU3" s="11">
        <v>60000</v>
      </c>
      <c r="DV3" s="11"/>
      <c r="DW3" s="11"/>
      <c r="DX3" s="11"/>
      <c r="EA3" s="10">
        <v>800000</v>
      </c>
      <c r="EB3" s="10">
        <f>2460000*($DH$3/($DH$3+$DH$2))</f>
        <v>757110.51365501585</v>
      </c>
      <c r="EH3" s="10">
        <f t="shared" si="3"/>
        <v>635048.08481906634</v>
      </c>
      <c r="EN3" s="10">
        <f t="shared" si="4"/>
        <v>222266.82968667324</v>
      </c>
      <c r="ER3" s="10">
        <f t="shared" si="5"/>
        <v>3120739.281280891</v>
      </c>
      <c r="ES3" s="10">
        <f t="shared" ref="ES3:ES23" si="40">ER3*0.764555</f>
        <v>2385976.8211997114</v>
      </c>
      <c r="ET3" s="10">
        <f t="shared" si="6"/>
        <v>5.9773644123018478E-2</v>
      </c>
      <c r="EU3" s="10">
        <f t="shared" si="7"/>
        <v>899.77105678906548</v>
      </c>
      <c r="EY3" s="10">
        <f>25590800*($DH$3/($DH$3+$DH$2))</f>
        <v>7876042.1678222679</v>
      </c>
      <c r="FH3" s="10">
        <v>2550000</v>
      </c>
      <c r="FO3" s="10">
        <v>18461538</v>
      </c>
      <c r="FP3" s="10">
        <f>25590800*($DH$3/($DH$3+$DH$2))</f>
        <v>7876042.1678222679</v>
      </c>
      <c r="GB3" s="10">
        <f t="shared" si="8"/>
        <v>4373893.6841913201</v>
      </c>
      <c r="GG3" s="10">
        <f t="shared" ref="GG3:GG15" si="41">FS3+FT3</f>
        <v>0</v>
      </c>
      <c r="GH3" s="10">
        <f t="shared" ref="GH3:GH15" si="42">FU3</f>
        <v>0</v>
      </c>
      <c r="GI3" s="10">
        <f t="shared" ref="GI3:GI15" si="43">FV3+FW3</f>
        <v>0</v>
      </c>
      <c r="GJ3" s="10">
        <f t="shared" ref="GJ3:GJ15" si="44">FX3</f>
        <v>0</v>
      </c>
      <c r="GK3" s="10">
        <f t="shared" ref="GK3:GK15" si="45">FY3+FZ3</f>
        <v>0</v>
      </c>
      <c r="GL3" s="10">
        <f t="shared" ref="GL3:GO15" si="46">GA3</f>
        <v>0</v>
      </c>
      <c r="GM3" s="10">
        <f t="shared" si="46"/>
        <v>4373893.6841913201</v>
      </c>
      <c r="GN3" s="10">
        <f t="shared" si="46"/>
        <v>0</v>
      </c>
      <c r="GO3" s="10">
        <f t="shared" si="46"/>
        <v>0</v>
      </c>
      <c r="GP3" s="10">
        <f t="shared" ref="GP3:GP15" si="47">SUM(EW3:GB3)</f>
        <v>41137516.01983586</v>
      </c>
    </row>
    <row r="4" spans="1:198" s="6" customFormat="1" x14ac:dyDescent="0.25">
      <c r="A4" s="6">
        <v>3</v>
      </c>
      <c r="B4" s="6" t="s">
        <v>117</v>
      </c>
      <c r="C4" s="6" t="s">
        <v>118</v>
      </c>
      <c r="D4" s="6" t="str">
        <f t="shared" ref="D4:D23" si="48">C4&amp;"/"&amp;C3</f>
        <v>LB/MB</v>
      </c>
      <c r="E4" s="10">
        <f t="shared" ref="E4:E15" si="49">IF(Z4&gt;Z3,Z4-Z3,Z3-Z4)</f>
        <v>181937.37427178456</v>
      </c>
      <c r="F4" s="10">
        <f t="shared" si="9"/>
        <v>116.1290674293175</v>
      </c>
      <c r="G4" s="10">
        <f t="shared" si="10"/>
        <v>-5.8298672470789086</v>
      </c>
      <c r="H4" s="10">
        <f t="shared" si="11"/>
        <v>7.9250792684411095</v>
      </c>
      <c r="I4" s="10">
        <f t="shared" ref="I3:I15" si="50">IF(Z4&gt;Z3,S4-S3,S3-S4)</f>
        <v>-5.168989274659852E-2</v>
      </c>
      <c r="J4" s="10">
        <f t="shared" ref="J4:J15" si="51">IF(Z4&gt;Z3,R4-R3,R3-R4)</f>
        <v>-4.5260521761339878E-2</v>
      </c>
      <c r="K4" s="10">
        <f t="shared" si="12"/>
        <v>-13.754946515520018</v>
      </c>
      <c r="L4" s="6" t="s">
        <v>114</v>
      </c>
      <c r="N4" s="6">
        <f t="shared" ref="N4:N23" si="52">N3</f>
        <v>10</v>
      </c>
      <c r="O4" s="6">
        <f t="shared" si="13"/>
        <v>-6.4286679178137973</v>
      </c>
      <c r="P4" s="6">
        <f t="shared" si="0"/>
        <v>-11.134950248965694</v>
      </c>
      <c r="Q4" s="6">
        <f t="shared" si="1"/>
        <v>156.72839285664082</v>
      </c>
      <c r="R4" s="6">
        <f t="shared" si="14"/>
        <v>0.70693598015133385</v>
      </c>
      <c r="S4" s="6">
        <f t="shared" si="15"/>
        <v>0.69848251811933038</v>
      </c>
      <c r="T4" s="6">
        <v>400</v>
      </c>
      <c r="U4" s="6">
        <v>1.1000000000000001</v>
      </c>
      <c r="V4" s="6">
        <f t="shared" si="2"/>
        <v>5</v>
      </c>
      <c r="W4" s="6">
        <f t="shared" si="16"/>
        <v>4</v>
      </c>
      <c r="Y4" s="8">
        <f t="shared" si="17"/>
        <v>388001.64507234818</v>
      </c>
      <c r="Z4" s="8">
        <f t="shared" si="18"/>
        <v>393687.97853753087</v>
      </c>
      <c r="AA4" s="16"/>
      <c r="AB4" s="8">
        <v>173359.44166484001</v>
      </c>
      <c r="AC4" s="8">
        <v>201316.88820762801</v>
      </c>
      <c r="AD4" s="8">
        <v>233071.40011451501</v>
      </c>
      <c r="AE4" s="8">
        <v>286134.639764147</v>
      </c>
      <c r="AF4" s="8">
        <v>335760.39867841202</v>
      </c>
      <c r="AG4" s="8">
        <v>401287.85322415101</v>
      </c>
      <c r="AH4" s="8">
        <v>455280.41157571197</v>
      </c>
      <c r="AI4" s="8">
        <v>437794.96309082001</v>
      </c>
      <c r="AJ4" s="8">
        <v>406590.190368829</v>
      </c>
      <c r="AK4" s="8">
        <v>361366.76138257602</v>
      </c>
      <c r="AL4" s="8">
        <v>327921.52050537098</v>
      </c>
      <c r="AM4" s="8">
        <v>318612.00853246002</v>
      </c>
      <c r="AN4" s="8">
        <v>301649.952524169</v>
      </c>
      <c r="AO4" s="8">
        <v>305103.76161356003</v>
      </c>
      <c r="AP4" s="8">
        <v>319633.50878881599</v>
      </c>
      <c r="AQ4" s="8">
        <v>330805.10446673498</v>
      </c>
      <c r="AR4" s="8">
        <v>348924.83783369802</v>
      </c>
      <c r="AS4" s="8">
        <v>366770.41658458399</v>
      </c>
      <c r="AT4" s="8">
        <v>397821.67639097298</v>
      </c>
      <c r="AU4" s="8">
        <v>422395.80110041099</v>
      </c>
      <c r="AV4" s="8">
        <v>441061.05929606903</v>
      </c>
      <c r="AW4" s="16"/>
      <c r="AX4" s="13">
        <v>3.2888721496165063E-2</v>
      </c>
      <c r="AY4" s="13">
        <v>2.8843039908195367E-2</v>
      </c>
      <c r="AZ4" s="13">
        <v>2.3508826348185297E-2</v>
      </c>
      <c r="BA4" s="13">
        <v>1.727558717854083E-2</v>
      </c>
      <c r="BB4" s="13">
        <v>9.7904355801925469E-3</v>
      </c>
      <c r="BC4" s="13">
        <v>1.8178580442596015E-3</v>
      </c>
      <c r="BD4" s="13">
        <v>-3.3449229627590116E-3</v>
      </c>
      <c r="BE4" s="13">
        <v>-1.1079319634054174E-3</v>
      </c>
      <c r="BF4" s="13">
        <v>4.8934098997499564E-3</v>
      </c>
      <c r="BG4" s="13">
        <v>1.5235248091937992E-2</v>
      </c>
      <c r="BH4" s="13">
        <v>1.6126764918219072E-2</v>
      </c>
      <c r="BI4" s="13">
        <v>2.1540722483505803E-2</v>
      </c>
      <c r="BJ4" s="13">
        <v>2.7613026747848268E-2</v>
      </c>
      <c r="BK4" s="13">
        <v>2.6978579088403398E-2</v>
      </c>
      <c r="BL4" s="13">
        <v>2.5079662791946955E-2</v>
      </c>
      <c r="BM4" s="13">
        <v>2.5870185947085789E-2</v>
      </c>
      <c r="BN4" s="13">
        <v>2.6893536703573639E-2</v>
      </c>
      <c r="BO4" s="13">
        <v>2.3026535336124088E-2</v>
      </c>
      <c r="BP4" s="13">
        <v>1.6693942729572031E-2</v>
      </c>
      <c r="BQ4" s="13">
        <v>2.2786008601595631E-2</v>
      </c>
      <c r="BR4" s="13">
        <v>0</v>
      </c>
      <c r="BS4" s="16"/>
      <c r="BT4" s="8">
        <f t="shared" si="19"/>
        <v>331145.00160539162</v>
      </c>
      <c r="BU4" s="8">
        <f t="shared" si="20"/>
        <v>345552.12144644541</v>
      </c>
      <c r="BV4" s="8">
        <f t="shared" si="21"/>
        <v>354109.55434434273</v>
      </c>
      <c r="BW4" s="8">
        <f t="shared" si="22"/>
        <v>382848.55881794583</v>
      </c>
      <c r="BX4" s="8">
        <f t="shared" si="23"/>
        <v>392400.4691220462</v>
      </c>
      <c r="BY4" s="8">
        <f t="shared" si="24"/>
        <v>412370.46175552619</v>
      </c>
      <c r="BZ4" s="8">
        <f t="shared" si="25"/>
        <v>434417.52124593785</v>
      </c>
      <c r="CA4" s="8">
        <f t="shared" si="26"/>
        <v>431531.09897803556</v>
      </c>
      <c r="CB4" s="8">
        <f t="shared" si="27"/>
        <v>431118.71280681045</v>
      </c>
      <c r="CC4" s="8">
        <f t="shared" si="28"/>
        <v>426758.09516906418</v>
      </c>
      <c r="CD4" s="8">
        <f t="shared" si="29"/>
        <v>384812.19610145816</v>
      </c>
      <c r="CE4" s="8">
        <f t="shared" si="30"/>
        <v>385978.66158138029</v>
      </c>
      <c r="CF4" s="8">
        <f t="shared" si="31"/>
        <v>375093.95896126929</v>
      </c>
      <c r="CG4" s="8">
        <f t="shared" si="32"/>
        <v>367601.48551806697</v>
      </c>
      <c r="CH4" s="8">
        <f t="shared" si="33"/>
        <v>370849.76356108533</v>
      </c>
      <c r="CI4" s="8">
        <f t="shared" si="34"/>
        <v>375867.04056404397</v>
      </c>
      <c r="CJ4" s="8">
        <f t="shared" si="35"/>
        <v>388001.64507234818</v>
      </c>
      <c r="CK4" s="8">
        <f t="shared" si="36"/>
        <v>392694.65891034214</v>
      </c>
      <c r="CL4" s="8">
        <f t="shared" si="37"/>
        <v>411214.96897297434</v>
      </c>
      <c r="CM4" s="8">
        <f t="shared" si="38"/>
        <v>432020.51545756281</v>
      </c>
      <c r="CN4" s="8">
        <f t="shared" si="39"/>
        <v>441061.05929606903</v>
      </c>
      <c r="CO4" s="9"/>
      <c r="CP4" s="10" t="s">
        <v>117</v>
      </c>
      <c r="CQ4" s="10">
        <v>3</v>
      </c>
      <c r="CR4" s="10">
        <v>6952.7928000000002</v>
      </c>
      <c r="CS4" s="10">
        <v>637455</v>
      </c>
      <c r="CT4" s="10">
        <v>92</v>
      </c>
      <c r="CU4" s="9"/>
      <c r="CV4" s="10" t="s">
        <v>117</v>
      </c>
      <c r="CW4" s="10" t="s">
        <v>118</v>
      </c>
      <c r="CX4" s="10">
        <v>3</v>
      </c>
      <c r="CY4" s="10">
        <v>672378.74350680003</v>
      </c>
      <c r="CZ4" s="10">
        <v>96.706282331151897</v>
      </c>
      <c r="DA4" s="10">
        <v>6952.7928000000002</v>
      </c>
      <c r="DB4" s="9"/>
      <c r="DC4" s="10" t="s">
        <v>117</v>
      </c>
      <c r="DD4" s="10" t="s">
        <v>118</v>
      </c>
      <c r="DE4" s="11">
        <v>594959.72254872206</v>
      </c>
      <c r="DF4" s="10">
        <v>3</v>
      </c>
      <c r="DG4" s="11">
        <v>85.571332082186203</v>
      </c>
      <c r="DH4" s="11">
        <v>6952.7925775106296</v>
      </c>
      <c r="DI4" s="9"/>
      <c r="DL4" s="8"/>
      <c r="DU4" s="6">
        <v>700000</v>
      </c>
      <c r="EE4" s="6">
        <v>3500000</v>
      </c>
      <c r="EH4" s="6">
        <f t="shared" si="3"/>
        <v>1665066.8807824969</v>
      </c>
      <c r="EI4" s="6">
        <f>1400000*(79/(84+79))</f>
        <v>678527.60736196314</v>
      </c>
      <c r="EN4" s="6">
        <f t="shared" si="4"/>
        <v>582773.40827387385</v>
      </c>
      <c r="ER4" s="6">
        <f t="shared" si="5"/>
        <v>7126367.896418334</v>
      </c>
      <c r="ES4" s="6">
        <f t="shared" si="40"/>
        <v>5448500.2070461195</v>
      </c>
      <c r="ET4" s="6">
        <f t="shared" si="6"/>
        <v>0.13649617610971224</v>
      </c>
      <c r="EU4" s="6">
        <f t="shared" si="7"/>
        <v>783.64198935974798</v>
      </c>
      <c r="EV4" s="18"/>
      <c r="FH4" s="6">
        <v>18539000</v>
      </c>
      <c r="FS4" s="6">
        <v>32307692</v>
      </c>
      <c r="FW4" s="6">
        <v>38200000</v>
      </c>
      <c r="GB4" s="6">
        <f t="shared" si="8"/>
        <v>11468148.141389446</v>
      </c>
      <c r="GF4" s="18"/>
      <c r="GG4" s="6">
        <f t="shared" si="41"/>
        <v>32307692</v>
      </c>
      <c r="GH4" s="6">
        <f t="shared" si="42"/>
        <v>0</v>
      </c>
      <c r="GI4" s="6">
        <f t="shared" si="43"/>
        <v>38200000</v>
      </c>
      <c r="GJ4" s="6">
        <f t="shared" si="44"/>
        <v>0</v>
      </c>
      <c r="GK4" s="6">
        <f t="shared" si="45"/>
        <v>0</v>
      </c>
      <c r="GL4" s="6">
        <f t="shared" si="46"/>
        <v>0</v>
      </c>
      <c r="GM4" s="6">
        <f t="shared" si="46"/>
        <v>11468148.141389446</v>
      </c>
      <c r="GN4" s="6">
        <f t="shared" si="46"/>
        <v>0</v>
      </c>
      <c r="GO4" s="6">
        <f t="shared" si="46"/>
        <v>0</v>
      </c>
      <c r="GP4" s="6">
        <f t="shared" si="47"/>
        <v>100514840.14138944</v>
      </c>
    </row>
    <row r="5" spans="1:198" x14ac:dyDescent="0.25">
      <c r="A5" s="10">
        <v>4</v>
      </c>
      <c r="B5" s="10" t="s">
        <v>119</v>
      </c>
      <c r="C5" s="10" t="s">
        <v>120</v>
      </c>
      <c r="D5" s="10" t="str">
        <f t="shared" si="48"/>
        <v>DL/LB</v>
      </c>
      <c r="E5" s="10">
        <f t="shared" si="49"/>
        <v>1137343.9601900431</v>
      </c>
      <c r="F5" s="10">
        <f t="shared" si="9"/>
        <v>-323.02450231721656</v>
      </c>
      <c r="G5" s="10">
        <f t="shared" si="10"/>
        <v>4.2450978642277022</v>
      </c>
      <c r="H5" s="10">
        <f t="shared" si="11"/>
        <v>-58.100478662716</v>
      </c>
      <c r="I5" s="10">
        <f t="shared" si="50"/>
        <v>0.21838211313054889</v>
      </c>
      <c r="J5" s="10">
        <f t="shared" si="51"/>
        <v>0.2111596503807478</v>
      </c>
      <c r="K5" s="10">
        <f t="shared" si="12"/>
        <v>62.345576526943702</v>
      </c>
      <c r="L5" s="10" t="s">
        <v>114</v>
      </c>
      <c r="N5" s="10">
        <f t="shared" si="52"/>
        <v>10</v>
      </c>
      <c r="O5" s="10">
        <f t="shared" si="13"/>
        <v>51.816429946413905</v>
      </c>
      <c r="P5" s="10">
        <f t="shared" si="0"/>
        <v>51.210626277978008</v>
      </c>
      <c r="Q5" s="10">
        <f t="shared" si="1"/>
        <v>92.12349446055417</v>
      </c>
      <c r="R5" s="10">
        <f t="shared" si="14"/>
        <v>0.91809563053208165</v>
      </c>
      <c r="S5" s="6">
        <f t="shared" si="15"/>
        <v>0.91686463124987927</v>
      </c>
      <c r="T5" s="6">
        <v>400</v>
      </c>
      <c r="U5" s="6">
        <v>1.1000000000000001</v>
      </c>
      <c r="V5" s="10">
        <f t="shared" si="2"/>
        <v>3</v>
      </c>
      <c r="W5" s="10">
        <f t="shared" si="16"/>
        <v>6.666666666666667</v>
      </c>
      <c r="Y5" s="11">
        <f t="shared" si="17"/>
        <v>1606373.304475534</v>
      </c>
      <c r="Z5" s="11">
        <f t="shared" si="18"/>
        <v>1531031.938727574</v>
      </c>
      <c r="AB5" s="11">
        <v>502898.96869987401</v>
      </c>
      <c r="AC5" s="11">
        <v>652814.97204633802</v>
      </c>
      <c r="AD5" s="11">
        <v>744230.34108574805</v>
      </c>
      <c r="AE5" s="11">
        <v>870790.77850068302</v>
      </c>
      <c r="AF5" s="11">
        <v>1055092.6703063999</v>
      </c>
      <c r="AG5" s="11">
        <v>1277716.1923491401</v>
      </c>
      <c r="AH5" s="11">
        <v>1487806.6117621099</v>
      </c>
      <c r="AI5" s="11">
        <v>1583276.1858681</v>
      </c>
      <c r="AJ5" s="11">
        <v>1535274.38041579</v>
      </c>
      <c r="AK5" s="11">
        <v>1508785.0552401999</v>
      </c>
      <c r="AL5" s="11">
        <v>1518987.6870621601</v>
      </c>
      <c r="AM5" s="11">
        <v>1491052.4455439299</v>
      </c>
      <c r="AN5" s="11">
        <v>1378325.4001298</v>
      </c>
      <c r="AO5" s="11">
        <v>1341576.01475307</v>
      </c>
      <c r="AP5" s="11">
        <v>1351797.46625036</v>
      </c>
      <c r="AQ5" s="11">
        <v>1387130.12370232</v>
      </c>
      <c r="AR5" s="11">
        <v>1444590.63997008</v>
      </c>
      <c r="AS5" s="11">
        <v>1500982.6539895299</v>
      </c>
      <c r="AT5" s="11">
        <v>1685263.95838898</v>
      </c>
      <c r="AU5" s="11">
        <v>1814650.4819376599</v>
      </c>
      <c r="AV5" s="11">
        <v>1963579.0023240601</v>
      </c>
      <c r="AX5" s="14">
        <v>3.2888721496165063E-2</v>
      </c>
      <c r="AY5" s="14">
        <v>2.8843039908195367E-2</v>
      </c>
      <c r="AZ5" s="14">
        <v>2.3508826348185297E-2</v>
      </c>
      <c r="BA5" s="14">
        <v>1.727558717854083E-2</v>
      </c>
      <c r="BB5" s="14">
        <v>9.7904355801925469E-3</v>
      </c>
      <c r="BC5" s="14">
        <v>1.8178580442596015E-3</v>
      </c>
      <c r="BD5" s="14">
        <v>-3.3449229627590116E-3</v>
      </c>
      <c r="BE5" s="14">
        <v>-1.1079319634054174E-3</v>
      </c>
      <c r="BF5" s="14">
        <v>4.8934098997499564E-3</v>
      </c>
      <c r="BG5" s="14">
        <v>1.5235248091937992E-2</v>
      </c>
      <c r="BH5" s="14">
        <v>1.6126764918219072E-2</v>
      </c>
      <c r="BI5" s="14">
        <v>2.1540722483505803E-2</v>
      </c>
      <c r="BJ5" s="14">
        <v>2.7613026747848268E-2</v>
      </c>
      <c r="BK5" s="14">
        <v>2.6978579088403398E-2</v>
      </c>
      <c r="BL5" s="14">
        <v>2.5079662791946955E-2</v>
      </c>
      <c r="BM5" s="14">
        <v>2.5870185947085789E-2</v>
      </c>
      <c r="BN5" s="14">
        <v>2.6893536703573639E-2</v>
      </c>
      <c r="BO5" s="14">
        <v>2.3026535336124088E-2</v>
      </c>
      <c r="BP5" s="14">
        <v>1.6693942729572031E-2</v>
      </c>
      <c r="BQ5" s="14">
        <v>2.2786008601595631E-2</v>
      </c>
      <c r="BR5" s="14">
        <v>0</v>
      </c>
      <c r="BT5" s="11">
        <f t="shared" si="19"/>
        <v>960619.61320474744</v>
      </c>
      <c r="BU5" s="11">
        <f t="shared" si="20"/>
        <v>1120529.929262371</v>
      </c>
      <c r="BV5" s="11">
        <f t="shared" si="21"/>
        <v>1130722.4922574272</v>
      </c>
      <c r="BW5" s="11">
        <f t="shared" si="22"/>
        <v>1165119.3118587127</v>
      </c>
      <c r="BX5" s="11">
        <f t="shared" si="23"/>
        <v>1233078.2916183244</v>
      </c>
      <c r="BY5" s="11">
        <f t="shared" si="24"/>
        <v>1313003.6506168963</v>
      </c>
      <c r="BZ5" s="11">
        <f t="shared" si="25"/>
        <v>1419628.9669878103</v>
      </c>
      <c r="CA5" s="11">
        <f t="shared" si="26"/>
        <v>1560623.0543398873</v>
      </c>
      <c r="CB5" s="11">
        <f t="shared" si="27"/>
        <v>1627893.4671043453</v>
      </c>
      <c r="CC5" s="11">
        <f t="shared" si="28"/>
        <v>1781808.137888426</v>
      </c>
      <c r="CD5" s="11">
        <f t="shared" si="29"/>
        <v>1782514.8737070779</v>
      </c>
      <c r="CE5" s="11">
        <f t="shared" si="30"/>
        <v>1806317.4389739202</v>
      </c>
      <c r="CF5" s="11">
        <f t="shared" si="31"/>
        <v>1713912.1910855884</v>
      </c>
      <c r="CG5" s="11">
        <f t="shared" si="32"/>
        <v>1616385.6300902402</v>
      </c>
      <c r="CH5" s="11">
        <f t="shared" si="33"/>
        <v>1568401.8006780434</v>
      </c>
      <c r="CI5" s="11">
        <f t="shared" si="34"/>
        <v>1576083.583455272</v>
      </c>
      <c r="CJ5" s="11">
        <f t="shared" si="35"/>
        <v>1606373.304475534</v>
      </c>
      <c r="CK5" s="11">
        <f t="shared" si="36"/>
        <v>1607075.8291456304</v>
      </c>
      <c r="CL5" s="11">
        <f t="shared" si="37"/>
        <v>1742001.0207767589</v>
      </c>
      <c r="CM5" s="11">
        <f t="shared" si="38"/>
        <v>1855999.123427981</v>
      </c>
      <c r="CN5" s="11">
        <f t="shared" si="39"/>
        <v>1963579.0023240601</v>
      </c>
      <c r="CP5" s="10" t="s">
        <v>119</v>
      </c>
      <c r="CQ5" s="10">
        <v>4</v>
      </c>
      <c r="CR5" s="10">
        <v>2584.3991999999998</v>
      </c>
      <c r="CS5" s="10">
        <v>97480</v>
      </c>
      <c r="CT5" s="10">
        <v>38</v>
      </c>
      <c r="CV5" s="10" t="s">
        <v>119</v>
      </c>
      <c r="CW5" s="10" t="s">
        <v>120</v>
      </c>
      <c r="CX5" s="10">
        <v>4</v>
      </c>
      <c r="CY5" s="10">
        <v>99772.808116062995</v>
      </c>
      <c r="CZ5" s="10">
        <v>38.605803668435897</v>
      </c>
      <c r="DA5" s="10">
        <v>2584.3991999999998</v>
      </c>
      <c r="DC5" s="10" t="s">
        <v>119</v>
      </c>
      <c r="DD5" s="10" t="s">
        <v>120</v>
      </c>
      <c r="DE5" s="11">
        <v>232121.50227247999</v>
      </c>
      <c r="DF5" s="10">
        <v>4</v>
      </c>
      <c r="DG5" s="11">
        <v>89.816429946413905</v>
      </c>
      <c r="DH5" s="11">
        <v>2584.3991172992201</v>
      </c>
      <c r="DL5" s="11"/>
      <c r="EH5" s="10">
        <f t="shared" si="3"/>
        <v>618916.40358400601</v>
      </c>
      <c r="EI5" s="10">
        <f>1400000*(84/(84+79))</f>
        <v>721472.39263803686</v>
      </c>
      <c r="EN5" s="10">
        <f t="shared" si="4"/>
        <v>216620.74125440209</v>
      </c>
      <c r="EP5" s="10">
        <f>912000*($DH5/(SUM($DH$5:$DH$7)))</f>
        <v>690063.18043905019</v>
      </c>
      <c r="ER5" s="10">
        <f t="shared" si="5"/>
        <v>1557009.5374764448</v>
      </c>
      <c r="ES5" s="10">
        <f t="shared" si="40"/>
        <v>1190419.4269253032</v>
      </c>
      <c r="ET5" s="10">
        <f t="shared" si="6"/>
        <v>2.9822463717976241E-2</v>
      </c>
      <c r="EU5" s="10">
        <f t="shared" si="7"/>
        <v>460.61748704253142</v>
      </c>
      <c r="FW5" s="10">
        <v>48500000</v>
      </c>
      <c r="GB5" s="10">
        <f t="shared" si="8"/>
        <v>4262786.7296848418</v>
      </c>
      <c r="GD5" s="10">
        <f>24000000*($DH5/(SUM($DH$5:$DH$7)))</f>
        <v>18159557.379975002</v>
      </c>
      <c r="GG5" s="10">
        <f t="shared" si="41"/>
        <v>0</v>
      </c>
      <c r="GH5" s="10">
        <f t="shared" si="42"/>
        <v>0</v>
      </c>
      <c r="GI5" s="10">
        <f t="shared" si="43"/>
        <v>48500000</v>
      </c>
      <c r="GJ5" s="10">
        <f t="shared" si="44"/>
        <v>0</v>
      </c>
      <c r="GK5" s="10">
        <f t="shared" si="45"/>
        <v>0</v>
      </c>
      <c r="GL5" s="10">
        <f t="shared" si="46"/>
        <v>0</v>
      </c>
      <c r="GM5" s="10">
        <f t="shared" si="46"/>
        <v>4262786.7296848418</v>
      </c>
      <c r="GN5" s="10">
        <f t="shared" si="46"/>
        <v>0</v>
      </c>
      <c r="GO5" s="10">
        <f t="shared" si="46"/>
        <v>18159557.379975002</v>
      </c>
      <c r="GP5" s="10">
        <f t="shared" si="47"/>
        <v>52762786.729684845</v>
      </c>
    </row>
    <row r="6" spans="1:198" s="6" customFormat="1" x14ac:dyDescent="0.25">
      <c r="A6" s="6">
        <v>5</v>
      </c>
      <c r="B6" s="6" t="s">
        <v>121</v>
      </c>
      <c r="C6" s="6" t="s">
        <v>122</v>
      </c>
      <c r="D6" s="10" t="str">
        <f t="shared" si="48"/>
        <v>AH/DL</v>
      </c>
      <c r="E6" s="10">
        <f t="shared" si="49"/>
        <v>694357.95430313516</v>
      </c>
      <c r="F6" s="10">
        <f t="shared" si="9"/>
        <v>213.43658626915922</v>
      </c>
      <c r="G6" s="10">
        <f t="shared" si="10"/>
        <v>12.683511134424108</v>
      </c>
      <c r="H6" s="10">
        <f t="shared" si="11"/>
        <v>-11.131248364362001</v>
      </c>
      <c r="I6" s="10">
        <f t="shared" si="50"/>
        <v>-3.4095454198696085E-2</v>
      </c>
      <c r="J6" s="10">
        <f t="shared" si="51"/>
        <v>-4.562945316611644E-2</v>
      </c>
      <c r="K6" s="10">
        <f t="shared" si="12"/>
        <v>23.81475949878611</v>
      </c>
      <c r="L6" s="6" t="s">
        <v>114</v>
      </c>
      <c r="N6" s="6">
        <f t="shared" si="52"/>
        <v>10</v>
      </c>
      <c r="O6" s="6">
        <f t="shared" si="13"/>
        <v>33.132918811989796</v>
      </c>
      <c r="P6" s="6">
        <f t="shared" si="0"/>
        <v>27.395866779191898</v>
      </c>
      <c r="Q6" s="6">
        <f t="shared" si="1"/>
        <v>49.436178572716734</v>
      </c>
      <c r="R6" s="6">
        <f t="shared" si="14"/>
        <v>0.96372508369819809</v>
      </c>
      <c r="S6" s="6">
        <f t="shared" si="15"/>
        <v>0.95096008544857535</v>
      </c>
      <c r="T6" s="6">
        <v>400</v>
      </c>
      <c r="U6" s="6">
        <v>1.1000000000000001</v>
      </c>
      <c r="V6" s="6">
        <f t="shared" si="2"/>
        <v>2</v>
      </c>
      <c r="W6" s="6">
        <f t="shared" si="16"/>
        <v>10</v>
      </c>
      <c r="Y6" s="8">
        <f t="shared" si="17"/>
        <v>844155.58481270948</v>
      </c>
      <c r="Z6" s="8">
        <f t="shared" si="18"/>
        <v>836673.98442443879</v>
      </c>
      <c r="AA6" s="16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>
        <v>656998.12578112201</v>
      </c>
      <c r="AS6" s="8">
        <v>713583.02925619599</v>
      </c>
      <c r="AT6" s="8">
        <v>816661.39421851898</v>
      </c>
      <c r="AU6" s="8">
        <v>891212.64700346696</v>
      </c>
      <c r="AV6" s="8">
        <v>933096.97290029295</v>
      </c>
      <c r="AW6" s="16"/>
      <c r="AX6" s="13">
        <v>3.2888721496165063E-2</v>
      </c>
      <c r="AY6" s="13">
        <v>2.8843039908195367E-2</v>
      </c>
      <c r="AZ6" s="13">
        <v>2.3508826348185297E-2</v>
      </c>
      <c r="BA6" s="13">
        <v>1.727558717854083E-2</v>
      </c>
      <c r="BB6" s="13">
        <v>9.7904355801925469E-3</v>
      </c>
      <c r="BC6" s="13">
        <v>1.8178580442596015E-3</v>
      </c>
      <c r="BD6" s="13">
        <v>-3.3449229627590116E-3</v>
      </c>
      <c r="BE6" s="13">
        <v>-1.1079319634054174E-3</v>
      </c>
      <c r="BF6" s="13">
        <v>4.8934098997499564E-3</v>
      </c>
      <c r="BG6" s="13">
        <v>1.5235248091937992E-2</v>
      </c>
      <c r="BH6" s="13">
        <v>1.6126764918219072E-2</v>
      </c>
      <c r="BI6" s="13">
        <v>2.1540722483505803E-2</v>
      </c>
      <c r="BJ6" s="13">
        <v>2.7613026747848268E-2</v>
      </c>
      <c r="BK6" s="13">
        <v>2.6978579088403398E-2</v>
      </c>
      <c r="BL6" s="13">
        <v>2.5079662791946955E-2</v>
      </c>
      <c r="BM6" s="13">
        <v>2.5870185947085789E-2</v>
      </c>
      <c r="BN6" s="13">
        <v>2.6893536703573639E-2</v>
      </c>
      <c r="BO6" s="13">
        <v>2.3026535336124088E-2</v>
      </c>
      <c r="BP6" s="13">
        <v>1.6693942729572031E-2</v>
      </c>
      <c r="BQ6" s="13">
        <v>2.2786008601595631E-2</v>
      </c>
      <c r="BR6" s="13">
        <v>0</v>
      </c>
      <c r="BS6" s="16"/>
      <c r="BT6" s="8" t="str">
        <f t="shared" si="19"/>
        <v>NaN</v>
      </c>
      <c r="BU6" s="8" t="str">
        <f t="shared" si="20"/>
        <v>NaN</v>
      </c>
      <c r="BV6" s="8" t="str">
        <f t="shared" si="21"/>
        <v>NaN</v>
      </c>
      <c r="BW6" s="8" t="str">
        <f t="shared" si="22"/>
        <v>NaN</v>
      </c>
      <c r="BX6" s="8" t="str">
        <f t="shared" si="23"/>
        <v>NaN</v>
      </c>
      <c r="BY6" s="8" t="str">
        <f t="shared" si="24"/>
        <v>NaN</v>
      </c>
      <c r="BZ6" s="8" t="str">
        <f t="shared" si="25"/>
        <v>NaN</v>
      </c>
      <c r="CA6" s="8" t="str">
        <f t="shared" si="26"/>
        <v>NaN</v>
      </c>
      <c r="CB6" s="8" t="str">
        <f t="shared" si="27"/>
        <v>NaN</v>
      </c>
      <c r="CC6" s="8" t="str">
        <f t="shared" si="28"/>
        <v>NaN</v>
      </c>
      <c r="CD6" s="8" t="str">
        <f t="shared" si="29"/>
        <v>NaN</v>
      </c>
      <c r="CE6" s="8" t="str">
        <f t="shared" si="30"/>
        <v>NaN</v>
      </c>
      <c r="CF6" s="8" t="str">
        <f t="shared" si="31"/>
        <v>NaN</v>
      </c>
      <c r="CG6" s="8" t="str">
        <f t="shared" si="32"/>
        <v>NaN</v>
      </c>
      <c r="CH6" s="8" t="str">
        <f t="shared" si="33"/>
        <v>NaN</v>
      </c>
      <c r="CI6" s="8" t="str">
        <f t="shared" si="34"/>
        <v>NaN</v>
      </c>
      <c r="CJ6" s="8">
        <f t="shared" si="35"/>
        <v>730576.69151664467</v>
      </c>
      <c r="CK6" s="8">
        <f t="shared" si="36"/>
        <v>764020.84684860799</v>
      </c>
      <c r="CL6" s="8">
        <f t="shared" si="37"/>
        <v>844155.58481270948</v>
      </c>
      <c r="CM6" s="8">
        <f t="shared" si="38"/>
        <v>911519.82604393875</v>
      </c>
      <c r="CN6" s="8">
        <f t="shared" si="39"/>
        <v>933096.97290029295</v>
      </c>
      <c r="CO6" s="9"/>
      <c r="CP6" s="10" t="s">
        <v>121</v>
      </c>
      <c r="CQ6" s="10">
        <v>5</v>
      </c>
      <c r="CR6" s="10">
        <v>519.98879999999997</v>
      </c>
      <c r="CS6" s="10">
        <v>22633</v>
      </c>
      <c r="CT6" s="10">
        <v>44</v>
      </c>
      <c r="CU6" s="9"/>
      <c r="CV6" s="10" t="s">
        <v>121</v>
      </c>
      <c r="CW6" s="10" t="s">
        <v>122</v>
      </c>
      <c r="CX6" s="10">
        <v>5</v>
      </c>
      <c r="CY6" s="10">
        <v>25862.710002072101</v>
      </c>
      <c r="CZ6" s="10">
        <v>49.737052032797898</v>
      </c>
      <c r="DA6" s="10">
        <v>519.98879999999997</v>
      </c>
      <c r="DB6" s="9"/>
      <c r="DC6" s="10" t="s">
        <v>121</v>
      </c>
      <c r="DD6" s="10" t="s">
        <v>122</v>
      </c>
      <c r="DE6" s="11">
        <v>40108.2526100799</v>
      </c>
      <c r="DF6" s="10">
        <v>5</v>
      </c>
      <c r="DG6" s="11">
        <v>77.132918811989796</v>
      </c>
      <c r="DH6" s="11">
        <v>519.98878336035898</v>
      </c>
      <c r="DI6" s="9"/>
      <c r="DL6" s="8"/>
      <c r="EH6" s="6">
        <f t="shared" si="3"/>
        <v>124527.81985072742</v>
      </c>
      <c r="EN6" s="6">
        <f t="shared" si="4"/>
        <v>43584.736947754594</v>
      </c>
      <c r="EP6" s="6">
        <f>912000*($DH6/(SUM($DH$5:$DH$7)))</f>
        <v>138842.76280564023</v>
      </c>
      <c r="ER6" s="6">
        <f t="shared" si="5"/>
        <v>168112.55679848202</v>
      </c>
      <c r="ES6" s="6">
        <f t="shared" si="40"/>
        <v>128531.29586306342</v>
      </c>
      <c r="ET6" s="6">
        <f t="shared" si="6"/>
        <v>3.2199742551254585E-3</v>
      </c>
      <c r="EU6" s="6">
        <f t="shared" si="7"/>
        <v>247.1809007733722</v>
      </c>
      <c r="EV6" s="18"/>
      <c r="GB6" s="6">
        <f t="shared" si="8"/>
        <v>857685.3592218851</v>
      </c>
      <c r="GD6" s="6">
        <f>24000000*($DH6/(SUM($DH$5:$DH$7)))</f>
        <v>3653756.9159379005</v>
      </c>
      <c r="GF6" s="18"/>
      <c r="GG6" s="6">
        <f t="shared" si="41"/>
        <v>0</v>
      </c>
      <c r="GH6" s="6">
        <f t="shared" si="42"/>
        <v>0</v>
      </c>
      <c r="GI6" s="6">
        <f t="shared" si="43"/>
        <v>0</v>
      </c>
      <c r="GJ6" s="6">
        <f t="shared" si="44"/>
        <v>0</v>
      </c>
      <c r="GK6" s="6">
        <f t="shared" si="45"/>
        <v>0</v>
      </c>
      <c r="GL6" s="6">
        <f t="shared" si="46"/>
        <v>0</v>
      </c>
      <c r="GM6" s="6">
        <f t="shared" si="46"/>
        <v>857685.3592218851</v>
      </c>
      <c r="GN6" s="6">
        <f t="shared" si="46"/>
        <v>0</v>
      </c>
      <c r="GO6" s="6">
        <f t="shared" si="46"/>
        <v>3653756.9159379005</v>
      </c>
      <c r="GP6" s="6">
        <f t="shared" si="47"/>
        <v>857685.3592218851</v>
      </c>
    </row>
    <row r="7" spans="1:198" x14ac:dyDescent="0.25">
      <c r="A7" s="10">
        <v>6</v>
      </c>
      <c r="B7" s="10" t="s">
        <v>123</v>
      </c>
      <c r="C7" s="10" t="s">
        <v>124</v>
      </c>
      <c r="D7" s="10" t="str">
        <f t="shared" si="48"/>
        <v>LA/AH</v>
      </c>
      <c r="E7" s="10">
        <f t="shared" si="49"/>
        <v>442251.69417624129</v>
      </c>
      <c r="F7" s="10">
        <f t="shared" si="9"/>
        <v>0</v>
      </c>
      <c r="G7" s="10">
        <f t="shared" si="10"/>
        <v>32.404026766617207</v>
      </c>
      <c r="H7" s="10">
        <f t="shared" si="11"/>
        <v>22.794321635545707</v>
      </c>
      <c r="I7" s="10">
        <f t="shared" si="50"/>
        <v>2.1381690191451308E-2</v>
      </c>
      <c r="J7" s="10">
        <f t="shared" si="51"/>
        <v>2.5374073806949449E-2</v>
      </c>
      <c r="K7" s="10">
        <f t="shared" si="12"/>
        <v>9.6097051310715003</v>
      </c>
      <c r="L7" s="10" t="s">
        <v>114</v>
      </c>
      <c r="N7" s="10">
        <f t="shared" si="52"/>
        <v>10</v>
      </c>
      <c r="O7" s="10">
        <f t="shared" si="13"/>
        <v>44.536945578607003</v>
      </c>
      <c r="P7" s="10">
        <f t="shared" si="0"/>
        <v>37.005571910263399</v>
      </c>
      <c r="Q7" s="10">
        <f t="shared" si="1"/>
        <v>49.436178572716607</v>
      </c>
      <c r="R7" s="10">
        <f t="shared" si="14"/>
        <v>0.98909915750514754</v>
      </c>
      <c r="S7" s="6">
        <f t="shared" si="15"/>
        <v>0.97234177564002666</v>
      </c>
      <c r="T7" s="6">
        <v>400</v>
      </c>
      <c r="U7" s="6">
        <v>1.1000000000000001</v>
      </c>
      <c r="V7" s="10">
        <f t="shared" si="2"/>
        <v>2</v>
      </c>
      <c r="W7" s="10">
        <f t="shared" si="16"/>
        <v>10</v>
      </c>
      <c r="Y7" s="11">
        <f t="shared" si="17"/>
        <v>1278925.6786006801</v>
      </c>
      <c r="Z7" s="11">
        <f t="shared" si="18"/>
        <v>1278925.6786006801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>
        <v>1278925.6786006801</v>
      </c>
      <c r="AX7" s="14">
        <v>3.2888721496165063E-2</v>
      </c>
      <c r="AY7" s="14">
        <v>2.8843039908195367E-2</v>
      </c>
      <c r="AZ7" s="14">
        <v>2.3508826348185297E-2</v>
      </c>
      <c r="BA7" s="14">
        <v>1.727558717854083E-2</v>
      </c>
      <c r="BB7" s="14">
        <v>9.7904355801925469E-3</v>
      </c>
      <c r="BC7" s="14">
        <v>1.8178580442596015E-3</v>
      </c>
      <c r="BD7" s="14">
        <v>-3.3449229627590116E-3</v>
      </c>
      <c r="BE7" s="14">
        <v>-1.1079319634054174E-3</v>
      </c>
      <c r="BF7" s="14">
        <v>4.8934098997499564E-3</v>
      </c>
      <c r="BG7" s="14">
        <v>1.5235248091937992E-2</v>
      </c>
      <c r="BH7" s="14">
        <v>1.6126764918219072E-2</v>
      </c>
      <c r="BI7" s="14">
        <v>2.1540722483505803E-2</v>
      </c>
      <c r="BJ7" s="14">
        <v>2.7613026747848268E-2</v>
      </c>
      <c r="BK7" s="14">
        <v>2.6978579088403398E-2</v>
      </c>
      <c r="BL7" s="14">
        <v>2.5079662791946955E-2</v>
      </c>
      <c r="BM7" s="14">
        <v>2.5870185947085789E-2</v>
      </c>
      <c r="BN7" s="14">
        <v>2.6893536703573639E-2</v>
      </c>
      <c r="BO7" s="14">
        <v>2.3026535336124088E-2</v>
      </c>
      <c r="BP7" s="14">
        <v>1.6693942729572031E-2</v>
      </c>
      <c r="BQ7" s="14">
        <v>2.2786008601595631E-2</v>
      </c>
      <c r="BR7" s="14">
        <v>0</v>
      </c>
      <c r="BT7" s="11" t="str">
        <f t="shared" si="19"/>
        <v>NaN</v>
      </c>
      <c r="BU7" s="11" t="str">
        <f t="shared" si="20"/>
        <v>NaN</v>
      </c>
      <c r="BV7" s="11" t="str">
        <f t="shared" si="21"/>
        <v>NaN</v>
      </c>
      <c r="BW7" s="11" t="str">
        <f t="shared" si="22"/>
        <v>NaN</v>
      </c>
      <c r="BX7" s="11" t="str">
        <f t="shared" si="23"/>
        <v>NaN</v>
      </c>
      <c r="BY7" s="11" t="str">
        <f t="shared" si="24"/>
        <v>NaN</v>
      </c>
      <c r="BZ7" s="11" t="str">
        <f t="shared" si="25"/>
        <v>NaN</v>
      </c>
      <c r="CA7" s="11" t="str">
        <f t="shared" si="26"/>
        <v>NaN</v>
      </c>
      <c r="CB7" s="11" t="str">
        <f t="shared" si="27"/>
        <v>NaN</v>
      </c>
      <c r="CC7" s="11" t="str">
        <f t="shared" si="28"/>
        <v>NaN</v>
      </c>
      <c r="CD7" s="11" t="str">
        <f t="shared" si="29"/>
        <v>NaN</v>
      </c>
      <c r="CE7" s="11" t="str">
        <f t="shared" si="30"/>
        <v>NaN</v>
      </c>
      <c r="CF7" s="11" t="str">
        <f t="shared" si="31"/>
        <v>NaN</v>
      </c>
      <c r="CG7" s="11" t="str">
        <f t="shared" si="32"/>
        <v>NaN</v>
      </c>
      <c r="CH7" s="11" t="str">
        <f t="shared" si="33"/>
        <v>NaN</v>
      </c>
      <c r="CI7" s="11" t="str">
        <f t="shared" si="34"/>
        <v>NaN</v>
      </c>
      <c r="CJ7" s="11" t="str">
        <f t="shared" si="35"/>
        <v>NaN</v>
      </c>
      <c r="CK7" s="11" t="str">
        <f t="shared" si="36"/>
        <v>NaN</v>
      </c>
      <c r="CL7" s="11" t="str">
        <f t="shared" si="37"/>
        <v>NaN</v>
      </c>
      <c r="CM7" s="11" t="str">
        <f t="shared" si="38"/>
        <v>NaN</v>
      </c>
      <c r="CN7" s="11">
        <f t="shared" si="39"/>
        <v>1278925.6786006801</v>
      </c>
      <c r="CP7" s="10" t="s">
        <v>125</v>
      </c>
      <c r="CQ7" s="10">
        <v>6</v>
      </c>
      <c r="CR7" s="10">
        <v>311.20080000000002</v>
      </c>
      <c r="CS7" s="10">
        <v>20314</v>
      </c>
      <c r="CT7" s="10">
        <v>65</v>
      </c>
      <c r="CV7" s="10" t="s">
        <v>125</v>
      </c>
      <c r="CW7" s="10" t="s">
        <v>124</v>
      </c>
      <c r="CX7" s="10">
        <v>6</v>
      </c>
      <c r="CY7" s="10">
        <v>22571.821510687401</v>
      </c>
      <c r="CZ7" s="10">
        <v>72.531373668343605</v>
      </c>
      <c r="DA7" s="10">
        <v>311.20080000000002</v>
      </c>
      <c r="DC7" s="10" t="s">
        <v>125</v>
      </c>
      <c r="DD7" s="10" t="s">
        <v>124</v>
      </c>
      <c r="DE7" s="11">
        <v>34087.984002803598</v>
      </c>
      <c r="DF7" s="10">
        <v>6</v>
      </c>
      <c r="DG7" s="11">
        <v>109.536945578607</v>
      </c>
      <c r="DH7" s="11">
        <v>311.20079004157401</v>
      </c>
      <c r="DL7" s="11"/>
      <c r="EH7" s="10">
        <f t="shared" si="3"/>
        <v>74526.907425317942</v>
      </c>
      <c r="EN7" s="10">
        <f t="shared" si="4"/>
        <v>26084.417598861277</v>
      </c>
      <c r="EP7" s="10">
        <f>912000*($DH7/(SUM($DH$5:$DH$7)))</f>
        <v>83094.056755309692</v>
      </c>
      <c r="ER7" s="10">
        <f t="shared" si="5"/>
        <v>100611.32502417921</v>
      </c>
      <c r="ES7" s="10">
        <f t="shared" si="40"/>
        <v>76922.891603861339</v>
      </c>
      <c r="ET7" s="10">
        <f t="shared" si="6"/>
        <v>1.9270772066137662E-3</v>
      </c>
      <c r="EU7" s="10">
        <f t="shared" si="7"/>
        <v>247.1809007733722</v>
      </c>
      <c r="GB7" s="10">
        <f t="shared" si="8"/>
        <v>513304.0748918773</v>
      </c>
      <c r="GD7" s="10">
        <f>24000000*($DH7/(SUM($DH$5:$DH$7)))</f>
        <v>2186685.7040870972</v>
      </c>
      <c r="GG7" s="10">
        <f t="shared" si="41"/>
        <v>0</v>
      </c>
      <c r="GH7" s="10">
        <f t="shared" si="42"/>
        <v>0</v>
      </c>
      <c r="GI7" s="10">
        <f t="shared" si="43"/>
        <v>0</v>
      </c>
      <c r="GJ7" s="10">
        <f t="shared" si="44"/>
        <v>0</v>
      </c>
      <c r="GK7" s="10">
        <f t="shared" si="45"/>
        <v>0</v>
      </c>
      <c r="GL7" s="10">
        <f t="shared" si="46"/>
        <v>0</v>
      </c>
      <c r="GM7" s="10">
        <f t="shared" si="46"/>
        <v>513304.0748918773</v>
      </c>
      <c r="GN7" s="10">
        <f t="shared" si="46"/>
        <v>0</v>
      </c>
      <c r="GO7" s="10">
        <f t="shared" si="46"/>
        <v>2186685.7040870972</v>
      </c>
      <c r="GP7" s="10">
        <f t="shared" si="47"/>
        <v>513304.0748918773</v>
      </c>
    </row>
    <row r="8" spans="1:198" s="6" customFormat="1" x14ac:dyDescent="0.25">
      <c r="A8" s="6">
        <v>7</v>
      </c>
      <c r="B8" s="6" t="s">
        <v>126</v>
      </c>
      <c r="C8" s="6" t="s">
        <v>127</v>
      </c>
      <c r="D8" s="10" t="str">
        <f t="shared" si="48"/>
        <v>AP/LA</v>
      </c>
      <c r="E8" s="10">
        <f t="shared" si="49"/>
        <v>1001727.7405236322</v>
      </c>
      <c r="F8" s="10">
        <f t="shared" si="9"/>
        <v>-187.69465307975352</v>
      </c>
      <c r="G8" s="10">
        <f t="shared" si="10"/>
        <v>25.419953021843398</v>
      </c>
      <c r="H8" s="10">
        <f t="shared" si="11"/>
        <v>-15.291743517551694</v>
      </c>
      <c r="I8" s="10">
        <f t="shared" si="50"/>
        <v>0.15855505662541802</v>
      </c>
      <c r="J8" s="10">
        <f t="shared" si="51"/>
        <v>0.17156868001912562</v>
      </c>
      <c r="K8" s="10">
        <f t="shared" si="12"/>
        <v>40.711696539395092</v>
      </c>
      <c r="L8" s="6" t="s">
        <v>114</v>
      </c>
      <c r="N8" s="6">
        <f t="shared" si="52"/>
        <v>10</v>
      </c>
      <c r="O8" s="6">
        <f t="shared" si="13"/>
        <v>-1.8830074432363944</v>
      </c>
      <c r="P8" s="6">
        <f t="shared" si="0"/>
        <v>-3.7061246291316934</v>
      </c>
      <c r="Q8" s="6">
        <f t="shared" si="1"/>
        <v>86.975107987421268</v>
      </c>
      <c r="R8" s="6">
        <f t="shared" si="14"/>
        <v>0.81753047748602192</v>
      </c>
      <c r="S8" s="6">
        <f t="shared" si="15"/>
        <v>0.81378671901460864</v>
      </c>
      <c r="T8" s="6">
        <v>400</v>
      </c>
      <c r="U8" s="6">
        <v>1.1000000000000001</v>
      </c>
      <c r="V8" s="6">
        <f t="shared" si="2"/>
        <v>3</v>
      </c>
      <c r="W8" s="6">
        <f t="shared" si="16"/>
        <v>6.666666666666667</v>
      </c>
      <c r="Y8" s="8">
        <f t="shared" si="17"/>
        <v>271430.70887905092</v>
      </c>
      <c r="Z8" s="8">
        <f t="shared" si="18"/>
        <v>277197.93807704799</v>
      </c>
      <c r="AA8" s="16"/>
      <c r="AB8" s="8">
        <v>85329.660194380995</v>
      </c>
      <c r="AC8" s="8">
        <v>97183.487894405203</v>
      </c>
      <c r="AD8" s="8">
        <v>119936.15915789999</v>
      </c>
      <c r="AE8" s="8">
        <v>156033.58066483401</v>
      </c>
      <c r="AF8" s="8">
        <v>194333.17706447799</v>
      </c>
      <c r="AG8" s="8">
        <v>239622.266326307</v>
      </c>
      <c r="AH8" s="8">
        <v>284466.16171998403</v>
      </c>
      <c r="AI8" s="8">
        <v>260652.039152799</v>
      </c>
      <c r="AJ8" s="8">
        <v>228345.59340391101</v>
      </c>
      <c r="AK8" s="8">
        <v>220296.45067654201</v>
      </c>
      <c r="AL8" s="8">
        <v>228265.502219271</v>
      </c>
      <c r="AM8" s="8">
        <v>285196.116266503</v>
      </c>
      <c r="AN8" s="8">
        <v>231827.63475221599</v>
      </c>
      <c r="AO8" s="8">
        <v>230943.42776420899</v>
      </c>
      <c r="AP8" s="8">
        <v>255257.591546654</v>
      </c>
      <c r="AQ8" s="8">
        <v>251898.99684738199</v>
      </c>
      <c r="AR8" s="8">
        <v>277177.19626410701</v>
      </c>
      <c r="AS8" s="8">
        <v>311115.695774358</v>
      </c>
      <c r="AT8" s="8">
        <v>354610.55852053402</v>
      </c>
      <c r="AU8" s="8">
        <v>396336.85739125399</v>
      </c>
      <c r="AV8" s="8">
        <v>420867.76825362601</v>
      </c>
      <c r="AW8" s="16"/>
      <c r="AX8" s="13">
        <v>3.2888721496165063E-2</v>
      </c>
      <c r="AY8" s="13">
        <v>2.8843039908195367E-2</v>
      </c>
      <c r="AZ8" s="13">
        <v>2.3508826348185297E-2</v>
      </c>
      <c r="BA8" s="13">
        <v>1.727558717854083E-2</v>
      </c>
      <c r="BB8" s="13">
        <v>9.7904355801925469E-3</v>
      </c>
      <c r="BC8" s="13">
        <v>1.8178580442596015E-3</v>
      </c>
      <c r="BD8" s="13">
        <v>-3.3449229627590116E-3</v>
      </c>
      <c r="BE8" s="13">
        <v>-1.1079319634054174E-3</v>
      </c>
      <c r="BF8" s="13">
        <v>4.8934098997499564E-3</v>
      </c>
      <c r="BG8" s="13">
        <v>1.5235248091937992E-2</v>
      </c>
      <c r="BH8" s="13">
        <v>1.6126764918219072E-2</v>
      </c>
      <c r="BI8" s="13">
        <v>2.1540722483505803E-2</v>
      </c>
      <c r="BJ8" s="13">
        <v>2.7613026747848268E-2</v>
      </c>
      <c r="BK8" s="13">
        <v>2.6978579088403398E-2</v>
      </c>
      <c r="BL8" s="13">
        <v>2.5079662791946955E-2</v>
      </c>
      <c r="BM8" s="13">
        <v>2.5870185947085789E-2</v>
      </c>
      <c r="BN8" s="13">
        <v>2.6893536703573639E-2</v>
      </c>
      <c r="BO8" s="13">
        <v>2.3026535336124088E-2</v>
      </c>
      <c r="BP8" s="13">
        <v>1.6693942729572031E-2</v>
      </c>
      <c r="BQ8" s="13">
        <v>2.2786008601595631E-2</v>
      </c>
      <c r="BR8" s="13">
        <v>0</v>
      </c>
      <c r="BS8" s="16"/>
      <c r="BT8" s="8">
        <f t="shared" si="19"/>
        <v>162993.66328535351</v>
      </c>
      <c r="BU8" s="8">
        <f t="shared" si="20"/>
        <v>166811.44195335434</v>
      </c>
      <c r="BV8" s="8">
        <f t="shared" si="21"/>
        <v>182221.15561286829</v>
      </c>
      <c r="BW8" s="8">
        <f t="shared" si="22"/>
        <v>208773.15495242091</v>
      </c>
      <c r="BX8" s="8">
        <f t="shared" si="23"/>
        <v>227115.61621391951</v>
      </c>
      <c r="BY8" s="8">
        <f t="shared" si="24"/>
        <v>246240.05889530358</v>
      </c>
      <c r="BZ8" s="8">
        <f t="shared" si="25"/>
        <v>271430.70887905092</v>
      </c>
      <c r="CA8" s="8">
        <f t="shared" si="26"/>
        <v>256922.69301677551</v>
      </c>
      <c r="CB8" s="8">
        <f t="shared" si="27"/>
        <v>242121.08564178625</v>
      </c>
      <c r="CC8" s="8">
        <f t="shared" si="28"/>
        <v>260160.32383148727</v>
      </c>
      <c r="CD8" s="8">
        <f t="shared" si="29"/>
        <v>267866.98557577963</v>
      </c>
      <c r="CE8" s="8">
        <f t="shared" si="30"/>
        <v>345497.38332771498</v>
      </c>
      <c r="CF8" s="8">
        <f t="shared" si="31"/>
        <v>288271.70230987715</v>
      </c>
      <c r="CG8" s="8">
        <f t="shared" si="32"/>
        <v>278250.08340698393</v>
      </c>
      <c r="CH8" s="8">
        <f t="shared" si="33"/>
        <v>296158.61563123122</v>
      </c>
      <c r="CI8" s="8">
        <f t="shared" si="34"/>
        <v>286212.42292710079</v>
      </c>
      <c r="CJ8" s="8">
        <f t="shared" si="35"/>
        <v>308218.83817360131</v>
      </c>
      <c r="CK8" s="8">
        <f t="shared" si="36"/>
        <v>333106.12445644138</v>
      </c>
      <c r="CL8" s="8">
        <f t="shared" si="37"/>
        <v>366549.08084043092</v>
      </c>
      <c r="CM8" s="8">
        <f t="shared" si="38"/>
        <v>405367.79243290046</v>
      </c>
      <c r="CN8" s="8">
        <f t="shared" si="39"/>
        <v>420867.76825362601</v>
      </c>
      <c r="CO8" s="9"/>
      <c r="CP8" s="10" t="s">
        <v>126</v>
      </c>
      <c r="CQ8" s="10">
        <v>7</v>
      </c>
      <c r="CR8" s="10">
        <v>1574.2919999999999</v>
      </c>
      <c r="CS8" s="10">
        <v>135899</v>
      </c>
      <c r="CT8" s="10">
        <v>86</v>
      </c>
      <c r="CU8" s="9"/>
      <c r="CV8" s="10" t="s">
        <v>126</v>
      </c>
      <c r="CW8" s="10" t="s">
        <v>127</v>
      </c>
      <c r="CX8" s="10">
        <v>7</v>
      </c>
      <c r="CY8" s="10">
        <v>138259.23080081699</v>
      </c>
      <c r="CZ8" s="10">
        <v>87.823117185895299</v>
      </c>
      <c r="DA8" s="10">
        <v>1574.2919999999999</v>
      </c>
      <c r="DB8" s="9"/>
      <c r="DC8" s="10" t="s">
        <v>126</v>
      </c>
      <c r="DD8" s="10" t="s">
        <v>127</v>
      </c>
      <c r="DE8" s="11">
        <v>132424.704208582</v>
      </c>
      <c r="DF8" s="10">
        <v>7</v>
      </c>
      <c r="DG8" s="11">
        <v>84.116992556763606</v>
      </c>
      <c r="DH8" s="11">
        <v>1574.29194962265</v>
      </c>
      <c r="DI8" s="9"/>
      <c r="DL8" s="8"/>
      <c r="EE8" s="6">
        <f>1200000*($DH8/(SUM($DH$8:$DH$11)))</f>
        <v>386481.26208143582</v>
      </c>
      <c r="EH8" s="6">
        <f t="shared" si="3"/>
        <v>377014.17909085809</v>
      </c>
      <c r="EN8" s="6">
        <f t="shared" si="4"/>
        <v>131954.96268180033</v>
      </c>
      <c r="ER8" s="6">
        <f t="shared" si="5"/>
        <v>895450.40385409421</v>
      </c>
      <c r="ES8" s="6">
        <f t="shared" si="40"/>
        <v>684621.08351866703</v>
      </c>
      <c r="ET8" s="6">
        <f t="shared" si="6"/>
        <v>1.7151171227549333E-2</v>
      </c>
      <c r="EU8" s="6">
        <f t="shared" si="7"/>
        <v>434.87555385312572</v>
      </c>
      <c r="EV8" s="18"/>
      <c r="FS8" s="6">
        <f>18300000*($DH8/(SUM($DH$8:$DH$11)))</f>
        <v>5893839.2467418965</v>
      </c>
      <c r="GB8" s="6">
        <f t="shared" si="8"/>
        <v>2596685.1584882853</v>
      </c>
      <c r="GF8" s="18"/>
      <c r="GG8" s="6">
        <f t="shared" si="41"/>
        <v>5893839.2467418965</v>
      </c>
      <c r="GH8" s="6">
        <f t="shared" si="42"/>
        <v>0</v>
      </c>
      <c r="GI8" s="6">
        <f t="shared" si="43"/>
        <v>0</v>
      </c>
      <c r="GJ8" s="6">
        <f t="shared" si="44"/>
        <v>0</v>
      </c>
      <c r="GK8" s="6">
        <f t="shared" si="45"/>
        <v>0</v>
      </c>
      <c r="GL8" s="6">
        <f t="shared" si="46"/>
        <v>0</v>
      </c>
      <c r="GM8" s="6">
        <f t="shared" si="46"/>
        <v>2596685.1584882853</v>
      </c>
      <c r="GN8" s="6">
        <f t="shared" si="46"/>
        <v>0</v>
      </c>
      <c r="GO8" s="6">
        <f t="shared" si="46"/>
        <v>0</v>
      </c>
      <c r="GP8" s="6">
        <f t="shared" si="47"/>
        <v>8490524.4052301813</v>
      </c>
    </row>
    <row r="9" spans="1:198" x14ac:dyDescent="0.25">
      <c r="A9" s="10">
        <v>8</v>
      </c>
      <c r="B9" s="10" t="s">
        <v>128</v>
      </c>
      <c r="C9" s="10" t="s">
        <v>129</v>
      </c>
      <c r="D9" s="10" t="str">
        <f t="shared" si="48"/>
        <v>OG/AP</v>
      </c>
      <c r="E9" s="10">
        <f t="shared" si="49"/>
        <v>20893.819294626592</v>
      </c>
      <c r="F9" s="10">
        <f t="shared" si="9"/>
        <v>0</v>
      </c>
      <c r="G9" s="10">
        <f t="shared" si="10"/>
        <v>7.0558944608770986</v>
      </c>
      <c r="H9" s="10">
        <f t="shared" si="11"/>
        <v>21.479488520194707</v>
      </c>
      <c r="I9" s="10">
        <f t="shared" si="50"/>
        <v>-2.9618750163489804E-2</v>
      </c>
      <c r="J9" s="10">
        <f t="shared" si="51"/>
        <v>8.2254500905437289E-2</v>
      </c>
      <c r="K9" s="10">
        <f t="shared" si="12"/>
        <v>-14.423594059317608</v>
      </c>
      <c r="L9" s="10" t="s">
        <v>114</v>
      </c>
      <c r="N9" s="10">
        <f t="shared" si="52"/>
        <v>10</v>
      </c>
      <c r="O9" s="10">
        <f t="shared" si="13"/>
        <v>38.172887017640704</v>
      </c>
      <c r="P9" s="10">
        <f t="shared" si="0"/>
        <v>-18.129718688449302</v>
      </c>
      <c r="Q9" s="10">
        <f t="shared" si="1"/>
        <v>86.97510798742168</v>
      </c>
      <c r="R9" s="10">
        <f t="shared" si="14"/>
        <v>0.89978497839145921</v>
      </c>
      <c r="S9" s="6">
        <f t="shared" si="15"/>
        <v>0.78416796885111884</v>
      </c>
      <c r="T9" s="6">
        <v>400</v>
      </c>
      <c r="U9" s="6">
        <v>1.1000000000000001</v>
      </c>
      <c r="V9" s="10">
        <f t="shared" si="2"/>
        <v>3</v>
      </c>
      <c r="W9" s="10">
        <f t="shared" si="16"/>
        <v>6.666666666666667</v>
      </c>
      <c r="Y9" s="11">
        <f t="shared" si="17"/>
        <v>296671.94307321013</v>
      </c>
      <c r="Z9" s="11">
        <f t="shared" si="18"/>
        <v>298091.75737167458</v>
      </c>
      <c r="AB9" s="11">
        <v>133157.34553383299</v>
      </c>
      <c r="AC9" s="11">
        <v>151700.381137244</v>
      </c>
      <c r="AD9" s="11">
        <v>172074.203602872</v>
      </c>
      <c r="AE9" s="11">
        <v>204755.30744393801</v>
      </c>
      <c r="AF9" s="11">
        <v>243723.55643284001</v>
      </c>
      <c r="AG9" s="11">
        <v>285874.91712749097</v>
      </c>
      <c r="AH9" s="11">
        <v>317207.35930562299</v>
      </c>
      <c r="AI9" s="11">
        <v>309242.55899713299</v>
      </c>
      <c r="AJ9" s="11">
        <v>279652.96499900398</v>
      </c>
      <c r="AK9" s="11">
        <v>283474.652456143</v>
      </c>
      <c r="AL9" s="11">
        <v>267542.30748451903</v>
      </c>
      <c r="AM9" s="11">
        <v>241640.654845918</v>
      </c>
      <c r="AN9" s="11">
        <v>233851.205543146</v>
      </c>
      <c r="AO9" s="11">
        <v>238962.19373967999</v>
      </c>
      <c r="AP9" s="11">
        <v>255700.02583557399</v>
      </c>
      <c r="AQ9" s="11">
        <v>264693.76156935998</v>
      </c>
      <c r="AR9" s="11">
        <v>278993.48113158601</v>
      </c>
      <c r="AS9" s="11">
        <v>288481.82481847203</v>
      </c>
      <c r="AT9" s="11">
        <v>307223.09865137498</v>
      </c>
      <c r="AU9" s="11">
        <v>325864.742022219</v>
      </c>
      <c r="AV9" s="11">
        <v>339617.64186450199</v>
      </c>
      <c r="AX9" s="14">
        <v>3.2888721496165063E-2</v>
      </c>
      <c r="AY9" s="14">
        <v>2.8843039908195367E-2</v>
      </c>
      <c r="AZ9" s="14">
        <v>2.3508826348185297E-2</v>
      </c>
      <c r="BA9" s="14">
        <v>1.727558717854083E-2</v>
      </c>
      <c r="BB9" s="14">
        <v>9.7904355801925469E-3</v>
      </c>
      <c r="BC9" s="14">
        <v>1.8178580442596015E-3</v>
      </c>
      <c r="BD9" s="14">
        <v>-3.3449229627590116E-3</v>
      </c>
      <c r="BE9" s="14">
        <v>-1.1079319634054174E-3</v>
      </c>
      <c r="BF9" s="14">
        <v>4.8934098997499564E-3</v>
      </c>
      <c r="BG9" s="14">
        <v>1.5235248091937992E-2</v>
      </c>
      <c r="BH9" s="14">
        <v>1.6126764918219072E-2</v>
      </c>
      <c r="BI9" s="14">
        <v>2.1540722483505803E-2</v>
      </c>
      <c r="BJ9" s="14">
        <v>2.7613026747848268E-2</v>
      </c>
      <c r="BK9" s="14">
        <v>2.6978579088403398E-2</v>
      </c>
      <c r="BL9" s="14">
        <v>2.5079662791946955E-2</v>
      </c>
      <c r="BM9" s="14">
        <v>2.5870185947085789E-2</v>
      </c>
      <c r="BN9" s="14">
        <v>2.6893536703573639E-2</v>
      </c>
      <c r="BO9" s="14">
        <v>2.3026535336124088E-2</v>
      </c>
      <c r="BP9" s="14">
        <v>1.6693942729572031E-2</v>
      </c>
      <c r="BQ9" s="14">
        <v>2.2786008601595631E-2</v>
      </c>
      <c r="BR9" s="14">
        <v>0</v>
      </c>
      <c r="BT9" s="11">
        <f t="shared" si="19"/>
        <v>254352.39625321107</v>
      </c>
      <c r="BU9" s="11">
        <f t="shared" si="20"/>
        <v>260387.43690566719</v>
      </c>
      <c r="BV9" s="11">
        <f t="shared" si="21"/>
        <v>261435.42074245238</v>
      </c>
      <c r="BW9" s="11">
        <f t="shared" si="22"/>
        <v>273962.89533435053</v>
      </c>
      <c r="BX9" s="11">
        <f t="shared" si="23"/>
        <v>284837.75411507156</v>
      </c>
      <c r="BY9" s="11">
        <f t="shared" si="24"/>
        <v>293770.09703390492</v>
      </c>
      <c r="BZ9" s="11">
        <f t="shared" si="25"/>
        <v>302671.56514288654</v>
      </c>
      <c r="CA9" s="11">
        <f t="shared" si="26"/>
        <v>304817.99149235355</v>
      </c>
      <c r="CB9" s="11">
        <f t="shared" si="27"/>
        <v>296523.69673162076</v>
      </c>
      <c r="CC9" s="11">
        <f t="shared" si="28"/>
        <v>334770.97408751637</v>
      </c>
      <c r="CD9" s="11">
        <f t="shared" si="29"/>
        <v>313957.87240344624</v>
      </c>
      <c r="CE9" s="11">
        <f t="shared" si="30"/>
        <v>292732.6467406943</v>
      </c>
      <c r="CF9" s="11">
        <f t="shared" si="31"/>
        <v>290787.96055177931</v>
      </c>
      <c r="CG9" s="11">
        <f t="shared" si="32"/>
        <v>287911.42048462509</v>
      </c>
      <c r="CH9" s="11">
        <f t="shared" si="33"/>
        <v>296671.94307321013</v>
      </c>
      <c r="CI9" s="11">
        <f t="shared" si="34"/>
        <v>300750.07753347553</v>
      </c>
      <c r="CJ9" s="11">
        <f t="shared" si="35"/>
        <v>310238.53250340919</v>
      </c>
      <c r="CK9" s="11">
        <f t="shared" si="36"/>
        <v>308872.43538846675</v>
      </c>
      <c r="CL9" s="11">
        <f t="shared" si="37"/>
        <v>317566.24758563028</v>
      </c>
      <c r="CM9" s="11">
        <f t="shared" si="38"/>
        <v>333289.89883689402</v>
      </c>
      <c r="CN9" s="11">
        <f t="shared" si="39"/>
        <v>339617.64186450199</v>
      </c>
      <c r="CP9" s="10" t="s">
        <v>130</v>
      </c>
      <c r="CQ9" s="10">
        <v>8</v>
      </c>
      <c r="CR9" s="10">
        <v>988.46640000000002</v>
      </c>
      <c r="CS9" s="10">
        <v>52114</v>
      </c>
      <c r="CT9" s="10">
        <v>53</v>
      </c>
      <c r="CV9" s="10" t="s">
        <v>130</v>
      </c>
      <c r="CW9" s="10" t="s">
        <v>129</v>
      </c>
      <c r="CX9" s="10">
        <v>8</v>
      </c>
      <c r="CY9" s="10">
        <v>108041.953172918</v>
      </c>
      <c r="CZ9" s="10">
        <v>109.30260570609001</v>
      </c>
      <c r="DA9" s="10">
        <v>988.46640000000002</v>
      </c>
      <c r="DC9" s="10" t="s">
        <v>130</v>
      </c>
      <c r="DD9" s="10" t="s">
        <v>129</v>
      </c>
      <c r="DE9" s="11">
        <v>90121.332524051395</v>
      </c>
      <c r="DF9" s="10">
        <v>8</v>
      </c>
      <c r="DG9" s="11">
        <v>91.172887017640704</v>
      </c>
      <c r="DH9" s="11">
        <v>988.46636836907601</v>
      </c>
      <c r="DL9" s="11"/>
      <c r="EE9" s="10">
        <f>1200000*($DH9/(SUM($DH$8:$DH$11)))</f>
        <v>242663.83987030052</v>
      </c>
      <c r="EH9" s="10">
        <f t="shared" si="3"/>
        <v>236719.64816876253</v>
      </c>
      <c r="EN9" s="10">
        <f t="shared" si="4"/>
        <v>82851.876859066891</v>
      </c>
      <c r="ER9" s="10">
        <f t="shared" si="5"/>
        <v>562235.36489812995</v>
      </c>
      <c r="ES9" s="10">
        <f t="shared" si="40"/>
        <v>429859.85940968973</v>
      </c>
      <c r="ET9" s="10">
        <f t="shared" si="6"/>
        <v>1.0768876726223184E-2</v>
      </c>
      <c r="EU9" s="10">
        <f t="shared" si="7"/>
        <v>434.87555385312572</v>
      </c>
      <c r="FS9" s="10">
        <f>18300000*($DH9/(SUM($DH$8:$DH$11)))</f>
        <v>3700623.5580220828</v>
      </c>
      <c r="GB9" s="10">
        <f t="shared" si="8"/>
        <v>1630406.5767623519</v>
      </c>
      <c r="GG9" s="10">
        <f t="shared" si="41"/>
        <v>3700623.5580220828</v>
      </c>
      <c r="GH9" s="10">
        <f t="shared" si="42"/>
        <v>0</v>
      </c>
      <c r="GI9" s="10">
        <f t="shared" si="43"/>
        <v>0</v>
      </c>
      <c r="GJ9" s="10">
        <f t="shared" si="44"/>
        <v>0</v>
      </c>
      <c r="GK9" s="10">
        <f t="shared" si="45"/>
        <v>0</v>
      </c>
      <c r="GL9" s="10">
        <f t="shared" si="46"/>
        <v>0</v>
      </c>
      <c r="GM9" s="10">
        <f t="shared" si="46"/>
        <v>1630406.5767623519</v>
      </c>
      <c r="GN9" s="10">
        <f t="shared" si="46"/>
        <v>0</v>
      </c>
      <c r="GO9" s="10">
        <f t="shared" si="46"/>
        <v>0</v>
      </c>
      <c r="GP9" s="10">
        <f t="shared" si="47"/>
        <v>5331030.1347844349</v>
      </c>
    </row>
    <row r="10" spans="1:198" s="6" customFormat="1" x14ac:dyDescent="0.25">
      <c r="A10" s="6">
        <v>9</v>
      </c>
      <c r="B10" s="6" t="s">
        <v>131</v>
      </c>
      <c r="C10" s="6" t="s">
        <v>132</v>
      </c>
      <c r="D10" s="10" t="str">
        <f t="shared" si="48"/>
        <v>BB/OG</v>
      </c>
      <c r="E10" s="10">
        <f t="shared" si="49"/>
        <v>213840.37844847393</v>
      </c>
      <c r="F10" s="10">
        <f t="shared" si="9"/>
        <v>5.6843418860808015E-14</v>
      </c>
      <c r="G10" s="10">
        <f t="shared" si="10"/>
        <v>13.910904816929289</v>
      </c>
      <c r="H10" s="10">
        <f t="shared" si="11"/>
        <v>22.260036751068995</v>
      </c>
      <c r="I10" s="10">
        <f t="shared" si="50"/>
        <v>-1.7144884404143301E-2</v>
      </c>
      <c r="J10" s="10">
        <f t="shared" si="51"/>
        <v>3.2672932468122085E-2</v>
      </c>
      <c r="K10" s="10">
        <f t="shared" si="12"/>
        <v>-8.3491319341397059</v>
      </c>
      <c r="L10" s="6" t="s">
        <v>114</v>
      </c>
      <c r="N10" s="6">
        <f t="shared" si="52"/>
        <v>10</v>
      </c>
      <c r="O10" s="6">
        <f t="shared" si="13"/>
        <v>54.083791834569993</v>
      </c>
      <c r="P10" s="6">
        <f t="shared" si="0"/>
        <v>-26.478850622589007</v>
      </c>
      <c r="Q10" s="6">
        <f t="shared" si="1"/>
        <v>86.97510798742141</v>
      </c>
      <c r="R10" s="6">
        <f t="shared" si="14"/>
        <v>0.9324579108595813</v>
      </c>
      <c r="S10" s="6">
        <f t="shared" si="15"/>
        <v>0.76702308444697553</v>
      </c>
      <c r="T10" s="6">
        <v>400</v>
      </c>
      <c r="U10" s="6">
        <v>1.1000000000000001</v>
      </c>
      <c r="V10" s="6">
        <f t="shared" si="2"/>
        <v>3</v>
      </c>
      <c r="W10" s="6">
        <f t="shared" si="16"/>
        <v>6.666666666666667</v>
      </c>
      <c r="Y10" s="8">
        <f t="shared" si="17"/>
        <v>532113.18129158614</v>
      </c>
      <c r="Z10" s="8">
        <f t="shared" si="18"/>
        <v>511932.13582014851</v>
      </c>
      <c r="AA10" s="16"/>
      <c r="AB10" s="8">
        <v>176473.89142178599</v>
      </c>
      <c r="AC10" s="8">
        <v>208611.02408232901</v>
      </c>
      <c r="AD10" s="8">
        <v>261675.02635673201</v>
      </c>
      <c r="AE10" s="8">
        <v>328616.11576076702</v>
      </c>
      <c r="AF10" s="8">
        <v>405607.11310660897</v>
      </c>
      <c r="AG10" s="8">
        <v>477568.86615180701</v>
      </c>
      <c r="AH10" s="8">
        <v>549561.50355988403</v>
      </c>
      <c r="AI10" s="8">
        <v>527644.30492480798</v>
      </c>
      <c r="AJ10" s="8">
        <v>497442.77471595199</v>
      </c>
      <c r="AK10" s="8">
        <v>466740.30120142503</v>
      </c>
      <c r="AL10" s="8">
        <v>454402.08632822102</v>
      </c>
      <c r="AM10" s="8">
        <v>456007.30214465503</v>
      </c>
      <c r="AN10" s="8">
        <v>445308.759700756</v>
      </c>
      <c r="AO10" s="8">
        <v>441410.34621505899</v>
      </c>
      <c r="AP10" s="8">
        <v>458625.62126453599</v>
      </c>
      <c r="AQ10" s="8">
        <v>471576.09041364701</v>
      </c>
      <c r="AR10" s="8">
        <v>495726.60230937297</v>
      </c>
      <c r="AS10" s="8">
        <v>515819.33852106699</v>
      </c>
      <c r="AT10" s="8">
        <v>553049.66148139501</v>
      </c>
      <c r="AU10" s="8">
        <v>581337.84797701996</v>
      </c>
      <c r="AV10" s="8">
        <v>621317.01754081994</v>
      </c>
      <c r="AW10" s="16"/>
      <c r="AX10" s="13">
        <v>3.2888721496165063E-2</v>
      </c>
      <c r="AY10" s="13">
        <v>2.8843039908195367E-2</v>
      </c>
      <c r="AZ10" s="13">
        <v>2.3508826348185297E-2</v>
      </c>
      <c r="BA10" s="13">
        <v>1.727558717854083E-2</v>
      </c>
      <c r="BB10" s="13">
        <v>9.7904355801925469E-3</v>
      </c>
      <c r="BC10" s="13">
        <v>1.8178580442596015E-3</v>
      </c>
      <c r="BD10" s="13">
        <v>-3.3449229627590116E-3</v>
      </c>
      <c r="BE10" s="13">
        <v>-1.1079319634054174E-3</v>
      </c>
      <c r="BF10" s="13">
        <v>4.8934098997499564E-3</v>
      </c>
      <c r="BG10" s="13">
        <v>1.5235248091937992E-2</v>
      </c>
      <c r="BH10" s="13">
        <v>1.6126764918219072E-2</v>
      </c>
      <c r="BI10" s="13">
        <v>2.1540722483505803E-2</v>
      </c>
      <c r="BJ10" s="13">
        <v>2.7613026747848268E-2</v>
      </c>
      <c r="BK10" s="13">
        <v>2.6978579088403398E-2</v>
      </c>
      <c r="BL10" s="13">
        <v>2.5079662791946955E-2</v>
      </c>
      <c r="BM10" s="13">
        <v>2.5870185947085789E-2</v>
      </c>
      <c r="BN10" s="13">
        <v>2.6893536703573639E-2</v>
      </c>
      <c r="BO10" s="13">
        <v>2.3026535336124088E-2</v>
      </c>
      <c r="BP10" s="13">
        <v>1.6693942729572031E-2</v>
      </c>
      <c r="BQ10" s="13">
        <v>2.2786008601595631E-2</v>
      </c>
      <c r="BR10" s="13">
        <v>0</v>
      </c>
      <c r="BS10" s="16"/>
      <c r="BT10" s="8">
        <f t="shared" si="19"/>
        <v>337094.11207701906</v>
      </c>
      <c r="BU10" s="8">
        <f t="shared" si="20"/>
        <v>358072.20432703331</v>
      </c>
      <c r="BV10" s="8">
        <f t="shared" si="21"/>
        <v>397567.55621109687</v>
      </c>
      <c r="BW10" s="8">
        <f t="shared" si="22"/>
        <v>439688.83469356538</v>
      </c>
      <c r="BX10" s="8">
        <f t="shared" si="23"/>
        <v>474029.76077209896</v>
      </c>
      <c r="BY10" s="8">
        <f t="shared" si="24"/>
        <v>490758.17339798668</v>
      </c>
      <c r="BZ10" s="8">
        <f t="shared" si="25"/>
        <v>524378.25146574259</v>
      </c>
      <c r="CA10" s="8">
        <f t="shared" si="26"/>
        <v>520094.89822857804</v>
      </c>
      <c r="CB10" s="8">
        <f t="shared" si="27"/>
        <v>527452.19587331847</v>
      </c>
      <c r="CC10" s="8">
        <f t="shared" si="28"/>
        <v>551199.56555295817</v>
      </c>
      <c r="CD10" s="8">
        <f t="shared" si="29"/>
        <v>533235.70982339082</v>
      </c>
      <c r="CE10" s="8">
        <f t="shared" si="30"/>
        <v>552424.52713516704</v>
      </c>
      <c r="CF10" s="8">
        <f t="shared" si="31"/>
        <v>553729.9914638839</v>
      </c>
      <c r="CG10" s="8">
        <f t="shared" si="32"/>
        <v>531829.23125418567</v>
      </c>
      <c r="CH10" s="8">
        <f t="shared" si="33"/>
        <v>532113.18129158614</v>
      </c>
      <c r="CI10" s="8">
        <f t="shared" si="34"/>
        <v>535813.70756134565</v>
      </c>
      <c r="CJ10" s="8">
        <f t="shared" si="35"/>
        <v>551244.03982337145</v>
      </c>
      <c r="CK10" s="8">
        <f t="shared" si="36"/>
        <v>552278.72816502035</v>
      </c>
      <c r="CL10" s="8">
        <f t="shared" si="37"/>
        <v>571668.94838349312</v>
      </c>
      <c r="CM10" s="8">
        <f t="shared" si="38"/>
        <v>594584.21718145744</v>
      </c>
      <c r="CN10" s="8">
        <f t="shared" si="39"/>
        <v>621317.01754081994</v>
      </c>
      <c r="CO10" s="9"/>
      <c r="CP10" s="10" t="s">
        <v>131</v>
      </c>
      <c r="CQ10" s="10">
        <v>9</v>
      </c>
      <c r="CR10" s="10">
        <v>1451.7624000000001</v>
      </c>
      <c r="CS10" s="10">
        <v>73368</v>
      </c>
      <c r="CT10" s="10">
        <v>51</v>
      </c>
      <c r="CU10" s="9"/>
      <c r="CV10" s="10" t="s">
        <v>131</v>
      </c>
      <c r="CW10" s="10" t="s">
        <v>132</v>
      </c>
      <c r="CX10" s="10">
        <v>9</v>
      </c>
      <c r="CY10" s="10">
        <v>190997.69756394799</v>
      </c>
      <c r="CZ10" s="10">
        <v>131.562642457159</v>
      </c>
      <c r="DA10" s="10">
        <v>1451.7624000000001</v>
      </c>
      <c r="DB10" s="9"/>
      <c r="DC10" s="10" t="s">
        <v>131</v>
      </c>
      <c r="DD10" s="10" t="s">
        <v>132</v>
      </c>
      <c r="DE10" s="11">
        <v>152556.69295304199</v>
      </c>
      <c r="DF10" s="10">
        <v>9</v>
      </c>
      <c r="DG10" s="11">
        <v>105.08379183456999</v>
      </c>
      <c r="DH10" s="11">
        <v>1451.7623535436001</v>
      </c>
      <c r="DI10" s="9"/>
      <c r="DL10" s="8"/>
      <c r="EE10" s="6">
        <f>1200000*($DH10/(SUM($DH$8:$DH$11)))</f>
        <v>356400.82309658895</v>
      </c>
      <c r="EH10" s="6">
        <f t="shared" si="3"/>
        <v>347670.57793025364</v>
      </c>
      <c r="EN10" s="6">
        <f t="shared" si="4"/>
        <v>121684.70227558877</v>
      </c>
      <c r="ER10" s="6">
        <f t="shared" si="5"/>
        <v>825756.10330243141</v>
      </c>
      <c r="ES10" s="6">
        <f t="shared" si="40"/>
        <v>631335.95756039047</v>
      </c>
      <c r="ET10" s="6">
        <f t="shared" si="6"/>
        <v>1.5816268839654913E-2</v>
      </c>
      <c r="EU10" s="6">
        <f t="shared" si="7"/>
        <v>434.87555385312578</v>
      </c>
      <c r="EV10" s="18"/>
      <c r="FS10" s="6">
        <f>18300000*($DH10/(SUM($DH$8:$DH$11)))</f>
        <v>5435112.5522229811</v>
      </c>
      <c r="GB10" s="6">
        <f t="shared" si="8"/>
        <v>2394581.1054946217</v>
      </c>
      <c r="GF10" s="18"/>
      <c r="GG10" s="6">
        <f t="shared" si="41"/>
        <v>5435112.5522229811</v>
      </c>
      <c r="GH10" s="6">
        <f t="shared" si="42"/>
        <v>0</v>
      </c>
      <c r="GI10" s="6">
        <f t="shared" si="43"/>
        <v>0</v>
      </c>
      <c r="GJ10" s="6">
        <f t="shared" si="44"/>
        <v>0</v>
      </c>
      <c r="GK10" s="6">
        <f t="shared" si="45"/>
        <v>0</v>
      </c>
      <c r="GL10" s="6">
        <f t="shared" si="46"/>
        <v>0</v>
      </c>
      <c r="GM10" s="6">
        <f t="shared" si="46"/>
        <v>2394581.1054946217</v>
      </c>
      <c r="GN10" s="6">
        <f t="shared" si="46"/>
        <v>0</v>
      </c>
      <c r="GO10" s="6">
        <f t="shared" si="46"/>
        <v>0</v>
      </c>
      <c r="GP10" s="6">
        <f t="shared" si="47"/>
        <v>7829693.6577176023</v>
      </c>
    </row>
    <row r="11" spans="1:198" x14ac:dyDescent="0.25">
      <c r="A11" s="10">
        <v>10</v>
      </c>
      <c r="B11" s="10" t="s">
        <v>133</v>
      </c>
      <c r="C11" s="10" t="s">
        <v>134</v>
      </c>
      <c r="D11" s="10" t="str">
        <f t="shared" si="48"/>
        <v>AV/BB</v>
      </c>
      <c r="E11" s="10">
        <f t="shared" si="49"/>
        <v>421787.72441936331</v>
      </c>
      <c r="F11" s="10">
        <f t="shared" si="9"/>
        <v>-5.6843418860808015E-14</v>
      </c>
      <c r="G11" s="10">
        <f t="shared" si="10"/>
        <v>-17.701971000458286</v>
      </c>
      <c r="H11" s="10">
        <f t="shared" si="11"/>
        <v>-24.326534678602002</v>
      </c>
      <c r="I11" s="10">
        <f t="shared" si="50"/>
        <v>1.3603495475408733E-2</v>
      </c>
      <c r="J11" s="10">
        <f t="shared" si="51"/>
        <v>-5.0725325782147723E-2</v>
      </c>
      <c r="K11" s="10">
        <f t="shared" si="12"/>
        <v>6.6245636781437156</v>
      </c>
      <c r="L11" s="10" t="s">
        <v>114</v>
      </c>
      <c r="N11" s="10">
        <f t="shared" si="52"/>
        <v>10</v>
      </c>
      <c r="O11" s="10">
        <f t="shared" si="13"/>
        <v>29.381820834111707</v>
      </c>
      <c r="P11" s="10">
        <f t="shared" si="0"/>
        <v>-19.854286944445292</v>
      </c>
      <c r="Q11" s="10">
        <f t="shared" si="1"/>
        <v>86.975107987421666</v>
      </c>
      <c r="R11" s="10">
        <f t="shared" si="14"/>
        <v>0.88173258507743357</v>
      </c>
      <c r="S11" s="6">
        <f t="shared" si="15"/>
        <v>0.78062657992238427</v>
      </c>
      <c r="T11" s="6">
        <v>400</v>
      </c>
      <c r="U11" s="6">
        <v>1.1000000000000001</v>
      </c>
      <c r="V11" s="10">
        <f t="shared" si="2"/>
        <v>3</v>
      </c>
      <c r="W11" s="10">
        <f t="shared" si="16"/>
        <v>6.666666666666667</v>
      </c>
      <c r="Y11" s="11">
        <f t="shared" si="17"/>
        <v>992009.50906244456</v>
      </c>
      <c r="Z11" s="11">
        <f t="shared" si="18"/>
        <v>933719.86023951182</v>
      </c>
      <c r="AB11" s="11">
        <v>324860.73586858902</v>
      </c>
      <c r="AC11" s="11">
        <v>402104.73947252502</v>
      </c>
      <c r="AD11" s="11">
        <v>467306.59863345203</v>
      </c>
      <c r="AE11" s="11">
        <v>591919.08777455997</v>
      </c>
      <c r="AF11" s="11">
        <v>708367.846763612</v>
      </c>
      <c r="AG11" s="11">
        <v>818530.22213204205</v>
      </c>
      <c r="AH11" s="11">
        <v>965612.54916624399</v>
      </c>
      <c r="AI11" s="11">
        <v>963319.96749255306</v>
      </c>
      <c r="AJ11" s="11">
        <v>970430.95190880203</v>
      </c>
      <c r="AK11" s="11">
        <v>923689.28534094396</v>
      </c>
      <c r="AL11" s="11">
        <v>845350.71877445304</v>
      </c>
      <c r="AM11" s="11">
        <v>846951.51340501395</v>
      </c>
      <c r="AN11" s="11">
        <v>814778.19863598503</v>
      </c>
      <c r="AO11" s="11">
        <v>836159.22285734105</v>
      </c>
      <c r="AP11" s="11">
        <v>888763.98938048503</v>
      </c>
      <c r="AQ11" s="11">
        <v>885342.67272216303</v>
      </c>
      <c r="AR11" s="11">
        <v>899929.54810794303</v>
      </c>
      <c r="AS11" s="11">
        <v>923642.96824840095</v>
      </c>
      <c r="AT11" s="11">
        <v>951232.55661915801</v>
      </c>
      <c r="AU11" s="11">
        <v>995957.90368267102</v>
      </c>
      <c r="AV11" s="11">
        <v>1068393.3918636199</v>
      </c>
      <c r="AX11" s="14">
        <v>3.2888721496165063E-2</v>
      </c>
      <c r="AY11" s="14">
        <v>2.8843039908195367E-2</v>
      </c>
      <c r="AZ11" s="14">
        <v>2.3508826348185297E-2</v>
      </c>
      <c r="BA11" s="14">
        <v>1.727558717854083E-2</v>
      </c>
      <c r="BB11" s="14">
        <v>9.7904355801925469E-3</v>
      </c>
      <c r="BC11" s="14">
        <v>1.8178580442596015E-3</v>
      </c>
      <c r="BD11" s="14">
        <v>-3.3449229627590116E-3</v>
      </c>
      <c r="BE11" s="14">
        <v>-1.1079319634054174E-3</v>
      </c>
      <c r="BF11" s="14">
        <v>4.8934098997499564E-3</v>
      </c>
      <c r="BG11" s="14">
        <v>1.5235248091937992E-2</v>
      </c>
      <c r="BH11" s="14">
        <v>1.6126764918219072E-2</v>
      </c>
      <c r="BI11" s="14">
        <v>2.1540722483505803E-2</v>
      </c>
      <c r="BJ11" s="14">
        <v>2.7613026747848268E-2</v>
      </c>
      <c r="BK11" s="14">
        <v>2.6978579088403398E-2</v>
      </c>
      <c r="BL11" s="14">
        <v>2.5079662791946955E-2</v>
      </c>
      <c r="BM11" s="14">
        <v>2.5870185947085789E-2</v>
      </c>
      <c r="BN11" s="14">
        <v>2.6893536703573639E-2</v>
      </c>
      <c r="BO11" s="14">
        <v>2.3026535336124088E-2</v>
      </c>
      <c r="BP11" s="14">
        <v>1.6693942729572031E-2</v>
      </c>
      <c r="BQ11" s="14">
        <v>2.2786008601595631E-2</v>
      </c>
      <c r="BR11" s="14">
        <v>0</v>
      </c>
      <c r="BT11" s="11">
        <f t="shared" si="19"/>
        <v>620537.35214902181</v>
      </c>
      <c r="BU11" s="11">
        <f t="shared" si="20"/>
        <v>690196.17283720977</v>
      </c>
      <c r="BV11" s="11">
        <f t="shared" si="21"/>
        <v>709987.28845734883</v>
      </c>
      <c r="BW11" s="11">
        <f t="shared" si="22"/>
        <v>791988.589281313</v>
      </c>
      <c r="BX11" s="11">
        <f t="shared" si="23"/>
        <v>827863.78761494777</v>
      </c>
      <c r="BY11" s="11">
        <f t="shared" si="24"/>
        <v>841136.06467151665</v>
      </c>
      <c r="BZ11" s="11">
        <f t="shared" si="25"/>
        <v>921364.06361294258</v>
      </c>
      <c r="CA11" s="11">
        <f t="shared" si="26"/>
        <v>949537.01912123186</v>
      </c>
      <c r="CB11" s="11">
        <f t="shared" si="27"/>
        <v>1028974.5123346307</v>
      </c>
      <c r="CC11" s="11">
        <f t="shared" si="28"/>
        <v>1090836.0205349592</v>
      </c>
      <c r="CD11" s="11">
        <f t="shared" si="29"/>
        <v>992009.50906244456</v>
      </c>
      <c r="CE11" s="11">
        <f t="shared" si="30"/>
        <v>1026029.1602759436</v>
      </c>
      <c r="CF11" s="11">
        <f t="shared" si="31"/>
        <v>1013155.7377825747</v>
      </c>
      <c r="CG11" s="11">
        <f t="shared" si="32"/>
        <v>1007438.8163109756</v>
      </c>
      <c r="CH11" s="11">
        <f t="shared" si="33"/>
        <v>1031174.4740790847</v>
      </c>
      <c r="CI11" s="11">
        <f t="shared" si="34"/>
        <v>1005943.154406806</v>
      </c>
      <c r="CJ11" s="11">
        <f t="shared" si="35"/>
        <v>1000714.5013893154</v>
      </c>
      <c r="CK11" s="11">
        <f t="shared" si="36"/>
        <v>988928.34310041554</v>
      </c>
      <c r="CL11" s="11">
        <f t="shared" si="37"/>
        <v>983257.29710063129</v>
      </c>
      <c r="CM11" s="11">
        <f t="shared" si="38"/>
        <v>1018651.8090428115</v>
      </c>
      <c r="CN11" s="11">
        <f t="shared" si="39"/>
        <v>1068393.3918636199</v>
      </c>
      <c r="CP11" s="10" t="s">
        <v>135</v>
      </c>
      <c r="CQ11" s="10">
        <v>10</v>
      </c>
      <c r="CR11" s="10">
        <v>873.55679999999995</v>
      </c>
      <c r="CS11" s="10">
        <v>50523</v>
      </c>
      <c r="CT11" s="10">
        <v>58</v>
      </c>
      <c r="CV11" s="10" t="s">
        <v>135</v>
      </c>
      <c r="CW11" s="10" t="s">
        <v>134</v>
      </c>
      <c r="CX11" s="10">
        <v>10</v>
      </c>
      <c r="CY11" s="10">
        <v>93676.831155491498</v>
      </c>
      <c r="CZ11" s="10">
        <v>107.236107778557</v>
      </c>
      <c r="DA11" s="10">
        <v>873.55679999999995</v>
      </c>
      <c r="DC11" s="10" t="s">
        <v>135</v>
      </c>
      <c r="DD11" s="10" t="s">
        <v>134</v>
      </c>
      <c r="DE11" s="11">
        <v>76332.981343364503</v>
      </c>
      <c r="DF11" s="10">
        <v>10</v>
      </c>
      <c r="DG11" s="11">
        <v>87.381820834111707</v>
      </c>
      <c r="DH11" s="11">
        <v>873.55677204618303</v>
      </c>
      <c r="DL11" s="11"/>
      <c r="EE11" s="10">
        <f>1200000*($DH11/(SUM($DH$8:$DH$11)))</f>
        <v>214454.07495167476</v>
      </c>
      <c r="EH11" s="10">
        <f t="shared" si="3"/>
        <v>209200.89782660294</v>
      </c>
      <c r="EN11" s="10">
        <f t="shared" si="4"/>
        <v>73220.314239311032</v>
      </c>
      <c r="ER11" s="10">
        <f t="shared" si="5"/>
        <v>496875.28701758874</v>
      </c>
      <c r="ES11" s="10">
        <f t="shared" si="40"/>
        <v>379888.48506573256</v>
      </c>
      <c r="ET11" s="10">
        <f t="shared" si="6"/>
        <v>9.5169906559838553E-3</v>
      </c>
      <c r="EU11" s="10">
        <f t="shared" si="7"/>
        <v>434.87555385312572</v>
      </c>
      <c r="FS11" s="10">
        <f>18300000*($DH11/(SUM($DH$8:$DH$11)))</f>
        <v>3270424.6430130401</v>
      </c>
      <c r="GB11" s="10">
        <f t="shared" si="8"/>
        <v>1440871.1837807279</v>
      </c>
      <c r="GG11" s="10">
        <f t="shared" si="41"/>
        <v>3270424.6430130401</v>
      </c>
      <c r="GH11" s="10">
        <f t="shared" si="42"/>
        <v>0</v>
      </c>
      <c r="GI11" s="10">
        <f t="shared" si="43"/>
        <v>0</v>
      </c>
      <c r="GJ11" s="10">
        <f t="shared" si="44"/>
        <v>0</v>
      </c>
      <c r="GK11" s="10">
        <f t="shared" si="45"/>
        <v>0</v>
      </c>
      <c r="GL11" s="10">
        <f t="shared" si="46"/>
        <v>0</v>
      </c>
      <c r="GM11" s="10">
        <f t="shared" si="46"/>
        <v>1440871.1837807279</v>
      </c>
      <c r="GN11" s="10">
        <f t="shared" si="46"/>
        <v>0</v>
      </c>
      <c r="GO11" s="10">
        <f t="shared" si="46"/>
        <v>0</v>
      </c>
      <c r="GP11" s="10">
        <f t="shared" si="47"/>
        <v>4711295.8267937675</v>
      </c>
    </row>
    <row r="12" spans="1:198" s="6" customFormat="1" x14ac:dyDescent="0.25">
      <c r="A12" s="6">
        <v>11</v>
      </c>
      <c r="B12" s="6" t="s">
        <v>136</v>
      </c>
      <c r="C12" s="6" t="s">
        <v>137</v>
      </c>
      <c r="D12" s="10" t="str">
        <f t="shared" si="48"/>
        <v>BM/AV</v>
      </c>
      <c r="E12" s="10">
        <f t="shared" si="49"/>
        <v>493014.49754013185</v>
      </c>
      <c r="F12" s="10">
        <f t="shared" si="9"/>
        <v>67.392378514591485</v>
      </c>
      <c r="G12" s="10">
        <f t="shared" si="10"/>
        <v>-10.260891113342993</v>
      </c>
      <c r="H12" s="10">
        <f t="shared" si="11"/>
        <v>21.479368515403905</v>
      </c>
      <c r="I12" s="10">
        <f t="shared" si="50"/>
        <v>-8.9254944518169621E-2</v>
      </c>
      <c r="J12" s="10">
        <f t="shared" si="51"/>
        <v>1.236481452664151E-2</v>
      </c>
      <c r="K12" s="10">
        <f t="shared" si="12"/>
        <v>-31.740259628746898</v>
      </c>
      <c r="L12" s="6" t="s">
        <v>114</v>
      </c>
      <c r="N12" s="6">
        <f t="shared" si="52"/>
        <v>10</v>
      </c>
      <c r="O12" s="6">
        <f t="shared" si="13"/>
        <v>11.6427119474547</v>
      </c>
      <c r="P12" s="6">
        <f t="shared" si="0"/>
        <v>11.885972684301606</v>
      </c>
      <c r="Q12" s="6">
        <f t="shared" si="1"/>
        <v>73.4966327158143</v>
      </c>
      <c r="R12" s="6">
        <f t="shared" si="14"/>
        <v>0.86936777055079206</v>
      </c>
      <c r="S12" s="6">
        <f t="shared" si="15"/>
        <v>0.86988152444055389</v>
      </c>
      <c r="T12" s="6">
        <v>400</v>
      </c>
      <c r="U12" s="6">
        <v>1.1000000000000001</v>
      </c>
      <c r="V12" s="6">
        <f t="shared" si="2"/>
        <v>3</v>
      </c>
      <c r="W12" s="6">
        <f t="shared" si="16"/>
        <v>6.666666666666667</v>
      </c>
      <c r="Y12" s="8">
        <f t="shared" si="17"/>
        <v>454816.57560974214</v>
      </c>
      <c r="Z12" s="8">
        <f t="shared" si="18"/>
        <v>440705.36269937997</v>
      </c>
      <c r="AA12" s="16"/>
      <c r="AB12" s="8">
        <v>151717.830240746</v>
      </c>
      <c r="AC12" s="8">
        <v>176909.97873079299</v>
      </c>
      <c r="AD12" s="8">
        <v>213550.74463626399</v>
      </c>
      <c r="AE12" s="8">
        <v>274094.14149353001</v>
      </c>
      <c r="AF12" s="8">
        <v>335786.46496815101</v>
      </c>
      <c r="AG12" s="8">
        <v>397076.88475876697</v>
      </c>
      <c r="AH12" s="8">
        <v>450667.899744578</v>
      </c>
      <c r="AI12" s="8">
        <v>438739.745169628</v>
      </c>
      <c r="AJ12" s="8">
        <v>420316.97731008602</v>
      </c>
      <c r="AK12" s="8">
        <v>390995.95896308101</v>
      </c>
      <c r="AL12" s="8">
        <v>394419.81995926902</v>
      </c>
      <c r="AM12" s="8">
        <v>384687.96866563702</v>
      </c>
      <c r="AN12" s="8">
        <v>365762.75133785902</v>
      </c>
      <c r="AO12" s="8">
        <v>372220.95378286502</v>
      </c>
      <c r="AP12" s="8">
        <v>415658.851346999</v>
      </c>
      <c r="AQ12" s="8">
        <v>412685.09591138101</v>
      </c>
      <c r="AR12" s="8">
        <v>438973.14437307097</v>
      </c>
      <c r="AS12" s="8">
        <v>473917.31713945</v>
      </c>
      <c r="AT12" s="8">
        <v>513873.36318943102</v>
      </c>
      <c r="AU12" s="8">
        <v>529449.14601639204</v>
      </c>
      <c r="AV12" s="8">
        <v>548227.62663900096</v>
      </c>
      <c r="AW12" s="16"/>
      <c r="AX12" s="13">
        <v>3.2888721496165063E-2</v>
      </c>
      <c r="AY12" s="13">
        <v>2.8843039908195367E-2</v>
      </c>
      <c r="AZ12" s="13">
        <v>2.3508826348185297E-2</v>
      </c>
      <c r="BA12" s="13">
        <v>1.727558717854083E-2</v>
      </c>
      <c r="BB12" s="13">
        <v>9.7904355801925469E-3</v>
      </c>
      <c r="BC12" s="13">
        <v>1.8178580442596015E-3</v>
      </c>
      <c r="BD12" s="13">
        <v>-3.3449229627590116E-3</v>
      </c>
      <c r="BE12" s="13">
        <v>-1.1079319634054174E-3</v>
      </c>
      <c r="BF12" s="13">
        <v>4.8934098997499564E-3</v>
      </c>
      <c r="BG12" s="13">
        <v>1.5235248091937992E-2</v>
      </c>
      <c r="BH12" s="13">
        <v>1.6126764918219072E-2</v>
      </c>
      <c r="BI12" s="13">
        <v>2.1540722483505803E-2</v>
      </c>
      <c r="BJ12" s="13">
        <v>2.7613026747848268E-2</v>
      </c>
      <c r="BK12" s="13">
        <v>2.6978579088403398E-2</v>
      </c>
      <c r="BL12" s="13">
        <v>2.5079662791946955E-2</v>
      </c>
      <c r="BM12" s="13">
        <v>2.5870185947085789E-2</v>
      </c>
      <c r="BN12" s="13">
        <v>2.6893536703573639E-2</v>
      </c>
      <c r="BO12" s="13">
        <v>2.3026535336124088E-2</v>
      </c>
      <c r="BP12" s="13">
        <v>1.6693942729572031E-2</v>
      </c>
      <c r="BQ12" s="13">
        <v>2.2786008601595631E-2</v>
      </c>
      <c r="BR12" s="13">
        <v>0</v>
      </c>
      <c r="BS12" s="16"/>
      <c r="BT12" s="8">
        <f t="shared" si="19"/>
        <v>289805.96993251593</v>
      </c>
      <c r="BU12" s="8">
        <f t="shared" si="20"/>
        <v>303658.66967118531</v>
      </c>
      <c r="BV12" s="8">
        <f t="shared" si="21"/>
        <v>324451.47270705632</v>
      </c>
      <c r="BW12" s="8">
        <f t="shared" si="22"/>
        <v>366738.35484489554</v>
      </c>
      <c r="BX12" s="8">
        <f t="shared" si="23"/>
        <v>392430.93258456921</v>
      </c>
      <c r="BY12" s="8">
        <f t="shared" si="24"/>
        <v>408043.19643573987</v>
      </c>
      <c r="BZ12" s="8">
        <f t="shared" si="25"/>
        <v>430016.37438028672</v>
      </c>
      <c r="CA12" s="8">
        <f t="shared" si="26"/>
        <v>432462.36334408587</v>
      </c>
      <c r="CB12" s="8">
        <f t="shared" si="27"/>
        <v>445673.60089134541</v>
      </c>
      <c r="CC12" s="8">
        <f t="shared" si="28"/>
        <v>461748.86153746716</v>
      </c>
      <c r="CD12" s="8">
        <f t="shared" si="29"/>
        <v>462847.19853261992</v>
      </c>
      <c r="CE12" s="8">
        <f t="shared" si="30"/>
        <v>466025.5837685896</v>
      </c>
      <c r="CF12" s="8">
        <f t="shared" si="31"/>
        <v>454816.57560974214</v>
      </c>
      <c r="CG12" s="8">
        <f t="shared" si="32"/>
        <v>448467.02258898568</v>
      </c>
      <c r="CH12" s="8">
        <f t="shared" si="33"/>
        <v>482261.66063819313</v>
      </c>
      <c r="CI12" s="8">
        <f t="shared" si="34"/>
        <v>468900.64146727038</v>
      </c>
      <c r="CJ12" s="8">
        <f t="shared" si="35"/>
        <v>488134.64589331043</v>
      </c>
      <c r="CK12" s="8">
        <f t="shared" si="36"/>
        <v>507414.96803044796</v>
      </c>
      <c r="CL12" s="8">
        <f t="shared" si="37"/>
        <v>531173.7183780435</v>
      </c>
      <c r="CM12" s="8">
        <f t="shared" si="38"/>
        <v>541513.17881162907</v>
      </c>
      <c r="CN12" s="8">
        <f t="shared" si="39"/>
        <v>548227.62663900096</v>
      </c>
      <c r="CO12" s="9"/>
      <c r="CP12" s="10" t="s">
        <v>136</v>
      </c>
      <c r="CQ12" s="10">
        <v>11</v>
      </c>
      <c r="CR12" s="10">
        <v>2236.3175999999999</v>
      </c>
      <c r="CS12" s="10">
        <v>193323</v>
      </c>
      <c r="CT12" s="10">
        <v>86</v>
      </c>
      <c r="CU12" s="9"/>
      <c r="CV12" s="10" t="s">
        <v>136</v>
      </c>
      <c r="CW12" s="10" t="s">
        <v>137</v>
      </c>
      <c r="CX12" s="10">
        <v>11</v>
      </c>
      <c r="CY12" s="10">
        <v>191779.3053328</v>
      </c>
      <c r="CZ12" s="10">
        <v>85.756739263153094</v>
      </c>
      <c r="DA12" s="10">
        <v>2236.3175999999999</v>
      </c>
      <c r="DB12" s="9"/>
      <c r="DC12" s="10" t="s">
        <v>136</v>
      </c>
      <c r="DD12" s="10" t="s">
        <v>137</v>
      </c>
      <c r="DE12" s="11">
        <v>218360.10825229899</v>
      </c>
      <c r="DF12" s="10">
        <v>11</v>
      </c>
      <c r="DG12" s="11">
        <v>97.6427119474547</v>
      </c>
      <c r="DH12" s="11">
        <v>2236.3175284378299</v>
      </c>
      <c r="DI12" s="9"/>
      <c r="DL12" s="8"/>
      <c r="EE12" s="6">
        <f>1500000*($DH12/(SUM($DH$12:$DH$15)))</f>
        <v>351883.23315001873</v>
      </c>
      <c r="EH12" s="6">
        <f t="shared" si="3"/>
        <v>535557.21819741093</v>
      </c>
      <c r="EN12" s="6">
        <f t="shared" si="4"/>
        <v>187445.02636909383</v>
      </c>
      <c r="ER12" s="6">
        <f t="shared" si="5"/>
        <v>1074885.4777165235</v>
      </c>
      <c r="ES12" s="6">
        <f t="shared" si="40"/>
        <v>821809.06641555659</v>
      </c>
      <c r="ET12" s="6">
        <f t="shared" si="6"/>
        <v>2.0588013360621778E-2</v>
      </c>
      <c r="EU12" s="6">
        <f t="shared" si="7"/>
        <v>367.48317533853424</v>
      </c>
      <c r="EV12" s="18"/>
      <c r="FS12" s="6">
        <f>25300000*($DH12/(SUM($DH$12:$DH$15)))</f>
        <v>5935097.1991303153</v>
      </c>
      <c r="GB12" s="6">
        <f t="shared" si="8"/>
        <v>3688650.3403346683</v>
      </c>
      <c r="GF12" s="18"/>
      <c r="GG12" s="6">
        <f t="shared" si="41"/>
        <v>5935097.1991303153</v>
      </c>
      <c r="GH12" s="6">
        <f t="shared" si="42"/>
        <v>0</v>
      </c>
      <c r="GI12" s="6">
        <f t="shared" si="43"/>
        <v>0</v>
      </c>
      <c r="GJ12" s="6">
        <f t="shared" si="44"/>
        <v>0</v>
      </c>
      <c r="GK12" s="6">
        <f t="shared" si="45"/>
        <v>0</v>
      </c>
      <c r="GL12" s="6">
        <f t="shared" si="46"/>
        <v>0</v>
      </c>
      <c r="GM12" s="6">
        <f t="shared" si="46"/>
        <v>3688650.3403346683</v>
      </c>
      <c r="GN12" s="6">
        <f t="shared" si="46"/>
        <v>0</v>
      </c>
      <c r="GO12" s="6">
        <f t="shared" si="46"/>
        <v>0</v>
      </c>
      <c r="GP12" s="6">
        <f t="shared" si="47"/>
        <v>9623747.5394649841</v>
      </c>
    </row>
    <row r="13" spans="1:198" x14ac:dyDescent="0.25">
      <c r="A13" s="10">
        <v>12</v>
      </c>
      <c r="B13" s="10" t="s">
        <v>138</v>
      </c>
      <c r="C13" s="10" t="s">
        <v>139</v>
      </c>
      <c r="D13" s="10" t="str">
        <f t="shared" si="48"/>
        <v>SL/BM</v>
      </c>
      <c r="E13" s="10">
        <f t="shared" si="49"/>
        <v>217707.887907786</v>
      </c>
      <c r="F13" s="10">
        <f t="shared" si="9"/>
        <v>5.6843418860808015E-14</v>
      </c>
      <c r="G13" s="10">
        <f t="shared" si="10"/>
        <v>-23.381999450720301</v>
      </c>
      <c r="H13" s="10">
        <f t="shared" si="11"/>
        <v>-15.932375924432591</v>
      </c>
      <c r="I13" s="10">
        <f t="shared" si="50"/>
        <v>-1.5733213314653272E-2</v>
      </c>
      <c r="J13" s="10">
        <f t="shared" si="51"/>
        <v>-1.559039482156388E-2</v>
      </c>
      <c r="K13" s="10">
        <f t="shared" si="12"/>
        <v>-7.4496235262877093</v>
      </c>
      <c r="L13" s="10" t="s">
        <v>114</v>
      </c>
      <c r="N13" s="10">
        <f t="shared" si="52"/>
        <v>10</v>
      </c>
      <c r="O13" s="10">
        <f t="shared" si="13"/>
        <v>4.2607124967343992</v>
      </c>
      <c r="P13" s="10">
        <f t="shared" si="0"/>
        <v>4.436349158013897</v>
      </c>
      <c r="Q13" s="10">
        <f t="shared" si="1"/>
        <v>73.49663271581457</v>
      </c>
      <c r="R13" s="10">
        <f t="shared" si="14"/>
        <v>0.85377737572922818</v>
      </c>
      <c r="S13" s="6">
        <f t="shared" si="15"/>
        <v>0.85414831112590062</v>
      </c>
      <c r="T13" s="6">
        <v>400</v>
      </c>
      <c r="U13" s="6">
        <v>1.1000000000000001</v>
      </c>
      <c r="V13" s="10">
        <f t="shared" si="2"/>
        <v>3</v>
      </c>
      <c r="W13" s="10">
        <f t="shared" si="16"/>
        <v>6.666666666666667</v>
      </c>
      <c r="Y13" s="11">
        <f t="shared" si="17"/>
        <v>657365.51451659238</v>
      </c>
      <c r="Z13" s="11">
        <f t="shared" si="18"/>
        <v>658413.25060716597</v>
      </c>
      <c r="AB13" s="11">
        <v>307262.06775034801</v>
      </c>
      <c r="AC13" s="11">
        <v>364749.228273427</v>
      </c>
      <c r="AD13" s="11">
        <v>411567.56131308398</v>
      </c>
      <c r="AE13" s="11">
        <v>466578.30712173</v>
      </c>
      <c r="AF13" s="11">
        <v>521608.01361567498</v>
      </c>
      <c r="AG13" s="11">
        <v>606346.57160460204</v>
      </c>
      <c r="AH13" s="11">
        <v>653225.10249527195</v>
      </c>
      <c r="AI13" s="11">
        <v>620843.39601294603</v>
      </c>
      <c r="AJ13" s="11">
        <v>592766.88983472099</v>
      </c>
      <c r="AK13" s="11">
        <v>564271.14392453502</v>
      </c>
      <c r="AL13" s="11">
        <v>558462.36292556406</v>
      </c>
      <c r="AM13" s="11">
        <v>542632.45035877696</v>
      </c>
      <c r="AN13" s="11">
        <v>538694.27491478901</v>
      </c>
      <c r="AO13" s="11">
        <v>552327.75130773697</v>
      </c>
      <c r="AP13" s="11">
        <v>589499.04964305495</v>
      </c>
      <c r="AQ13" s="11">
        <v>614983.68938914605</v>
      </c>
      <c r="AR13" s="11">
        <v>641315.62130603101</v>
      </c>
      <c r="AS13" s="11">
        <v>665909.22320604301</v>
      </c>
      <c r="AT13" s="11">
        <v>690450.69039587805</v>
      </c>
      <c r="AU13" s="11">
        <v>702648.58554664999</v>
      </c>
      <c r="AV13" s="11">
        <v>712028.552657263</v>
      </c>
      <c r="AX13" s="14">
        <v>3.2888721496165063E-2</v>
      </c>
      <c r="AY13" s="14">
        <v>2.8843039908195367E-2</v>
      </c>
      <c r="AZ13" s="14">
        <v>2.3508826348185297E-2</v>
      </c>
      <c r="BA13" s="14">
        <v>1.727558717854083E-2</v>
      </c>
      <c r="BB13" s="14">
        <v>9.7904355801925469E-3</v>
      </c>
      <c r="BC13" s="14">
        <v>1.8178580442596015E-3</v>
      </c>
      <c r="BD13" s="14">
        <v>-3.3449229627590116E-3</v>
      </c>
      <c r="BE13" s="14">
        <v>-1.1079319634054174E-3</v>
      </c>
      <c r="BF13" s="14">
        <v>4.8934098997499564E-3</v>
      </c>
      <c r="BG13" s="14">
        <v>1.5235248091937992E-2</v>
      </c>
      <c r="BH13" s="14">
        <v>1.6126764918219072E-2</v>
      </c>
      <c r="BI13" s="14">
        <v>2.1540722483505803E-2</v>
      </c>
      <c r="BJ13" s="14">
        <v>2.7613026747848268E-2</v>
      </c>
      <c r="BK13" s="14">
        <v>2.6978579088403398E-2</v>
      </c>
      <c r="BL13" s="14">
        <v>2.5079662791946955E-2</v>
      </c>
      <c r="BM13" s="14">
        <v>2.5870185947085789E-2</v>
      </c>
      <c r="BN13" s="14">
        <v>2.6893536703573639E-2</v>
      </c>
      <c r="BO13" s="14">
        <v>2.3026535336124088E-2</v>
      </c>
      <c r="BP13" s="14">
        <v>1.6693942729572031E-2</v>
      </c>
      <c r="BQ13" s="14">
        <v>2.2786008601595631E-2</v>
      </c>
      <c r="BR13" s="14">
        <v>0</v>
      </c>
      <c r="BT13" s="11">
        <f t="shared" si="19"/>
        <v>586921.00609770871</v>
      </c>
      <c r="BU13" s="11">
        <f t="shared" si="20"/>
        <v>626076.98116138857</v>
      </c>
      <c r="BV13" s="11">
        <f t="shared" si="21"/>
        <v>625301.97032994032</v>
      </c>
      <c r="BW13" s="11">
        <f t="shared" si="22"/>
        <v>624282.44481168082</v>
      </c>
      <c r="BX13" s="11">
        <f t="shared" si="23"/>
        <v>609599.07733683998</v>
      </c>
      <c r="BY13" s="11">
        <f t="shared" si="24"/>
        <v>623092.41036708665</v>
      </c>
      <c r="BZ13" s="11">
        <f t="shared" si="25"/>
        <v>623291.54214979685</v>
      </c>
      <c r="CA13" s="11">
        <f t="shared" si="26"/>
        <v>611960.51933366829</v>
      </c>
      <c r="CB13" s="11">
        <f t="shared" si="27"/>
        <v>628526.96546422422</v>
      </c>
      <c r="CC13" s="11">
        <f t="shared" si="28"/>
        <v>666379.15899841918</v>
      </c>
      <c r="CD13" s="11">
        <f t="shared" si="29"/>
        <v>655349.26767295215</v>
      </c>
      <c r="CE13" s="11">
        <f t="shared" si="30"/>
        <v>657365.51451659238</v>
      </c>
      <c r="CF13" s="11">
        <f t="shared" si="31"/>
        <v>669852.47820109944</v>
      </c>
      <c r="CG13" s="11">
        <f t="shared" si="32"/>
        <v>665467.05553483358</v>
      </c>
      <c r="CH13" s="11">
        <f t="shared" si="33"/>
        <v>683957.0231794822</v>
      </c>
      <c r="CI13" s="11">
        <f t="shared" si="34"/>
        <v>698756.14434208255</v>
      </c>
      <c r="CJ13" s="11">
        <f t="shared" si="35"/>
        <v>713137.87124530051</v>
      </c>
      <c r="CK13" s="11">
        <f t="shared" si="36"/>
        <v>712977.33799596538</v>
      </c>
      <c r="CL13" s="11">
        <f t="shared" si="37"/>
        <v>713695.79909334541</v>
      </c>
      <c r="CM13" s="11">
        <f t="shared" si="38"/>
        <v>718659.14226081502</v>
      </c>
      <c r="CN13" s="11">
        <f t="shared" si="39"/>
        <v>712028.552657263</v>
      </c>
      <c r="CP13" s="10" t="s">
        <v>138</v>
      </c>
      <c r="CQ13" s="10">
        <v>12</v>
      </c>
      <c r="CR13" s="10">
        <v>3339.3888000000002</v>
      </c>
      <c r="CS13" s="10">
        <v>233171</v>
      </c>
      <c r="CT13" s="10">
        <v>70</v>
      </c>
      <c r="CV13" s="10" t="s">
        <v>138</v>
      </c>
      <c r="CW13" s="10" t="s">
        <v>139</v>
      </c>
      <c r="CX13" s="10">
        <v>12</v>
      </c>
      <c r="CY13" s="10">
        <v>233170.696900454</v>
      </c>
      <c r="CZ13" s="10">
        <v>69.824363338720502</v>
      </c>
      <c r="DA13" s="10">
        <v>3339.3888000000002</v>
      </c>
      <c r="DC13" s="10" t="s">
        <v>138</v>
      </c>
      <c r="DD13" s="10" t="s">
        <v>139</v>
      </c>
      <c r="DE13" s="11">
        <v>247985.38365608201</v>
      </c>
      <c r="DF13" s="10">
        <v>12</v>
      </c>
      <c r="DG13" s="11">
        <v>74.260712496734399</v>
      </c>
      <c r="DH13" s="11">
        <v>3339.38869313956</v>
      </c>
      <c r="DL13" s="11"/>
      <c r="EE13" s="10">
        <f>1500000*($DH13/(SUM($DH$12:$DH$15)))</f>
        <v>525450.82491367299</v>
      </c>
      <c r="EH13" s="10">
        <f t="shared" si="3"/>
        <v>799722.62267559709</v>
      </c>
      <c r="EN13" s="10">
        <f t="shared" si="4"/>
        <v>279902.91793645901</v>
      </c>
      <c r="ER13" s="10">
        <f t="shared" si="5"/>
        <v>1605076.365525729</v>
      </c>
      <c r="ES13" s="10">
        <f t="shared" si="40"/>
        <v>1227169.1606445238</v>
      </c>
      <c r="ET13" s="10">
        <f t="shared" si="6"/>
        <v>3.0743120400568761E-2</v>
      </c>
      <c r="EU13" s="10">
        <f t="shared" si="7"/>
        <v>367.48317533853429</v>
      </c>
      <c r="FS13" s="10">
        <f>25300000*($DH13/(SUM($DH$12:$DH$15)))</f>
        <v>8862603.9135439508</v>
      </c>
      <c r="GB13" s="10">
        <f t="shared" si="8"/>
        <v>5508089.5636781752</v>
      </c>
      <c r="GG13" s="10">
        <f t="shared" si="41"/>
        <v>8862603.9135439508</v>
      </c>
      <c r="GH13" s="10">
        <f t="shared" si="42"/>
        <v>0</v>
      </c>
      <c r="GI13" s="10">
        <f t="shared" si="43"/>
        <v>0</v>
      </c>
      <c r="GJ13" s="10">
        <f t="shared" si="44"/>
        <v>0</v>
      </c>
      <c r="GK13" s="10">
        <f t="shared" si="45"/>
        <v>0</v>
      </c>
      <c r="GL13" s="10">
        <f t="shared" si="46"/>
        <v>0</v>
      </c>
      <c r="GM13" s="10">
        <f t="shared" si="46"/>
        <v>5508089.5636781752</v>
      </c>
      <c r="GN13" s="10">
        <f t="shared" si="46"/>
        <v>0</v>
      </c>
      <c r="GO13" s="10">
        <f t="shared" si="46"/>
        <v>0</v>
      </c>
      <c r="GP13" s="10">
        <f t="shared" si="47"/>
        <v>14370693.477222126</v>
      </c>
    </row>
    <row r="14" spans="1:198" s="6" customFormat="1" x14ac:dyDescent="0.25">
      <c r="A14" s="6">
        <v>13</v>
      </c>
      <c r="B14" s="6" t="s">
        <v>140</v>
      </c>
      <c r="C14" s="6" t="s">
        <v>141</v>
      </c>
      <c r="D14" s="10" t="str">
        <f t="shared" si="48"/>
        <v>SG/SL</v>
      </c>
      <c r="E14" s="10">
        <f t="shared" si="49"/>
        <v>386854.54886320513</v>
      </c>
      <c r="F14" s="10">
        <f t="shared" si="9"/>
        <v>0</v>
      </c>
      <c r="G14" s="10">
        <f t="shared" si="10"/>
        <v>15.901580328749503</v>
      </c>
      <c r="H14" s="10">
        <f t="shared" si="11"/>
        <v>25.1222412637579</v>
      </c>
      <c r="I14" s="10">
        <f t="shared" si="50"/>
        <v>-1.9473551231234176E-2</v>
      </c>
      <c r="J14" s="10">
        <f t="shared" si="51"/>
        <v>-1.0767594358607302E-2</v>
      </c>
      <c r="K14" s="10">
        <f t="shared" si="12"/>
        <v>-9.2206609350083966</v>
      </c>
      <c r="L14" s="6" t="s">
        <v>114</v>
      </c>
      <c r="N14" s="6">
        <f t="shared" si="52"/>
        <v>10</v>
      </c>
      <c r="O14" s="6">
        <f t="shared" si="13"/>
        <v>-0.83770717451609755</v>
      </c>
      <c r="P14" s="6">
        <f t="shared" si="0"/>
        <v>-4.7843117769944996</v>
      </c>
      <c r="Q14" s="6">
        <f t="shared" si="1"/>
        <v>73.496632715814414</v>
      </c>
      <c r="R14" s="6">
        <f t="shared" si="14"/>
        <v>0.84300978137062088</v>
      </c>
      <c r="S14" s="6">
        <f t="shared" si="15"/>
        <v>0.83467475989466644</v>
      </c>
      <c r="T14" s="6">
        <v>400</v>
      </c>
      <c r="U14" s="6">
        <v>1.1000000000000001</v>
      </c>
      <c r="V14" s="6">
        <f t="shared" si="2"/>
        <v>3</v>
      </c>
      <c r="W14" s="6">
        <f t="shared" si="16"/>
        <v>6.666666666666667</v>
      </c>
      <c r="Y14" s="8">
        <f t="shared" si="17"/>
        <v>1040612.7189433388</v>
      </c>
      <c r="Z14" s="8">
        <f t="shared" si="18"/>
        <v>1045267.7994703711</v>
      </c>
      <c r="AA14" s="16"/>
      <c r="AB14" s="8">
        <v>431264.79490722698</v>
      </c>
      <c r="AC14" s="8">
        <v>523161.68529237201</v>
      </c>
      <c r="AD14" s="8">
        <v>571876.12988166302</v>
      </c>
      <c r="AE14" s="8">
        <v>697102.32468858198</v>
      </c>
      <c r="AF14" s="8">
        <v>819109.892480487</v>
      </c>
      <c r="AG14" s="8">
        <v>954429.46628935495</v>
      </c>
      <c r="AH14" s="8">
        <v>1034161.49340222</v>
      </c>
      <c r="AI14" s="8">
        <v>1011212.84875306</v>
      </c>
      <c r="AJ14" s="8">
        <v>951436.31755519297</v>
      </c>
      <c r="AK14" s="8">
        <v>883276.271761204</v>
      </c>
      <c r="AL14" s="8">
        <v>886417.05845729995</v>
      </c>
      <c r="AM14" s="8">
        <v>858989.73567236098</v>
      </c>
      <c r="AN14" s="8">
        <v>856121.45461308095</v>
      </c>
      <c r="AO14" s="8">
        <v>886398.66715065797</v>
      </c>
      <c r="AP14" s="8">
        <v>968293.26237039</v>
      </c>
      <c r="AQ14" s="8">
        <v>1027760.42602445</v>
      </c>
      <c r="AR14" s="8">
        <v>1079163.31617791</v>
      </c>
      <c r="AS14" s="8">
        <v>1102377.90289393</v>
      </c>
      <c r="AT14" s="8">
        <v>1152276.46672444</v>
      </c>
      <c r="AU14" s="8">
        <v>1167498.11446192</v>
      </c>
      <c r="AV14" s="8">
        <v>1183686.5052387</v>
      </c>
      <c r="AW14" s="16"/>
      <c r="AX14" s="13">
        <v>3.2888721496165063E-2</v>
      </c>
      <c r="AY14" s="13">
        <v>2.8843039908195367E-2</v>
      </c>
      <c r="AZ14" s="13">
        <v>2.3508826348185297E-2</v>
      </c>
      <c r="BA14" s="13">
        <v>1.727558717854083E-2</v>
      </c>
      <c r="BB14" s="13">
        <v>9.7904355801925469E-3</v>
      </c>
      <c r="BC14" s="13">
        <v>1.8178580442596015E-3</v>
      </c>
      <c r="BD14" s="13">
        <v>-3.3449229627590116E-3</v>
      </c>
      <c r="BE14" s="13">
        <v>-1.1079319634054174E-3</v>
      </c>
      <c r="BF14" s="13">
        <v>4.8934098997499564E-3</v>
      </c>
      <c r="BG14" s="13">
        <v>1.5235248091937992E-2</v>
      </c>
      <c r="BH14" s="13">
        <v>1.6126764918219072E-2</v>
      </c>
      <c r="BI14" s="13">
        <v>2.1540722483505803E-2</v>
      </c>
      <c r="BJ14" s="13">
        <v>2.7613026747848268E-2</v>
      </c>
      <c r="BK14" s="13">
        <v>2.6978579088403398E-2</v>
      </c>
      <c r="BL14" s="13">
        <v>2.5079662791946955E-2</v>
      </c>
      <c r="BM14" s="13">
        <v>2.5870185947085789E-2</v>
      </c>
      <c r="BN14" s="13">
        <v>2.6893536703573639E-2</v>
      </c>
      <c r="BO14" s="13">
        <v>2.3026535336124088E-2</v>
      </c>
      <c r="BP14" s="13">
        <v>1.6693942729572031E-2</v>
      </c>
      <c r="BQ14" s="13">
        <v>2.2786008601595631E-2</v>
      </c>
      <c r="BR14" s="13">
        <v>0</v>
      </c>
      <c r="BS14" s="16"/>
      <c r="BT14" s="8">
        <f t="shared" si="19"/>
        <v>823786.57793558703</v>
      </c>
      <c r="BU14" s="8">
        <f t="shared" si="20"/>
        <v>897985.41901675868</v>
      </c>
      <c r="BV14" s="8">
        <f t="shared" si="21"/>
        <v>868861.65094930329</v>
      </c>
      <c r="BW14" s="8">
        <f t="shared" si="22"/>
        <v>932723.91128752916</v>
      </c>
      <c r="BX14" s="8">
        <f t="shared" si="23"/>
        <v>957287.12301090627</v>
      </c>
      <c r="BY14" s="8">
        <f t="shared" si="24"/>
        <v>980788.52017226885</v>
      </c>
      <c r="BZ14" s="8">
        <f t="shared" si="25"/>
        <v>986771.80284765945</v>
      </c>
      <c r="CA14" s="8">
        <f t="shared" si="26"/>
        <v>996744.66065657709</v>
      </c>
      <c r="CB14" s="8">
        <f t="shared" si="27"/>
        <v>1008833.9813854322</v>
      </c>
      <c r="CC14" s="8">
        <f t="shared" si="28"/>
        <v>1043110.0464322317</v>
      </c>
      <c r="CD14" s="8">
        <f t="shared" si="29"/>
        <v>1040200.3942926987</v>
      </c>
      <c r="CE14" s="8">
        <f t="shared" si="30"/>
        <v>1040612.7189433388</v>
      </c>
      <c r="CF14" s="8">
        <f t="shared" si="31"/>
        <v>1064565.013438123</v>
      </c>
      <c r="CG14" s="8">
        <f t="shared" si="32"/>
        <v>1067969.3527296544</v>
      </c>
      <c r="CH14" s="8">
        <f t="shared" si="33"/>
        <v>1123447.0652609365</v>
      </c>
      <c r="CI14" s="8">
        <f t="shared" si="34"/>
        <v>1167760.9097398212</v>
      </c>
      <c r="CJ14" s="8">
        <f t="shared" si="35"/>
        <v>1200021.0262426934</v>
      </c>
      <c r="CK14" s="8">
        <f t="shared" si="36"/>
        <v>1180296.7060387104</v>
      </c>
      <c r="CL14" s="8">
        <f t="shared" si="37"/>
        <v>1191069.6667184697</v>
      </c>
      <c r="CM14" s="8">
        <f t="shared" si="38"/>
        <v>1194100.736540396</v>
      </c>
      <c r="CN14" s="8">
        <f t="shared" si="39"/>
        <v>1183686.5052387</v>
      </c>
      <c r="CO14" s="9"/>
      <c r="CP14" s="10" t="s">
        <v>140</v>
      </c>
      <c r="CQ14" s="10">
        <v>13</v>
      </c>
      <c r="CR14" s="10">
        <v>2346.6552000000001</v>
      </c>
      <c r="CS14" s="10">
        <v>214553</v>
      </c>
      <c r="CT14" s="10">
        <v>91</v>
      </c>
      <c r="CU14" s="9"/>
      <c r="CV14" s="10" t="s">
        <v>140</v>
      </c>
      <c r="CW14" s="10" t="s">
        <v>141</v>
      </c>
      <c r="CX14" s="10">
        <v>13</v>
      </c>
      <c r="CY14" s="10">
        <v>222806.94341275</v>
      </c>
      <c r="CZ14" s="10">
        <v>94.946604602478402</v>
      </c>
      <c r="DA14" s="10">
        <v>2346.6552000000001</v>
      </c>
      <c r="DB14" s="9"/>
      <c r="DC14" s="10" t="s">
        <v>140</v>
      </c>
      <c r="DD14" s="10" t="s">
        <v>141</v>
      </c>
      <c r="DE14" s="11">
        <v>211579.80653229001</v>
      </c>
      <c r="DF14" s="10">
        <v>13</v>
      </c>
      <c r="DG14" s="11">
        <v>90.162292825483902</v>
      </c>
      <c r="DH14" s="11">
        <v>2346.6551249070299</v>
      </c>
      <c r="DI14" s="9"/>
      <c r="DL14" s="8"/>
      <c r="EE14" s="6">
        <f>1500000*($DH14/(SUM($DH$12:$DH$15)))</f>
        <v>369244.78833610442</v>
      </c>
      <c r="EH14" s="6">
        <f t="shared" si="3"/>
        <v>561981.05804850394</v>
      </c>
      <c r="EN14" s="6">
        <f t="shared" si="4"/>
        <v>196693.37031697639</v>
      </c>
      <c r="ER14" s="6">
        <f t="shared" si="5"/>
        <v>1127919.2167015849</v>
      </c>
      <c r="ES14" s="6">
        <f t="shared" si="40"/>
        <v>862356.27672528022</v>
      </c>
      <c r="ET14" s="6">
        <f t="shared" si="6"/>
        <v>2.1603804669950568E-2</v>
      </c>
      <c r="EU14" s="6">
        <f t="shared" si="7"/>
        <v>367.48317533853429</v>
      </c>
      <c r="EV14" s="18"/>
      <c r="FS14" s="6">
        <f>25300000*($DH14/(SUM($DH$12:$DH$15)))</f>
        <v>6227928.7632689606</v>
      </c>
      <c r="GB14" s="6">
        <f t="shared" si="8"/>
        <v>3870644.537309071</v>
      </c>
      <c r="GF14" s="18"/>
      <c r="GG14" s="6">
        <f t="shared" si="41"/>
        <v>6227928.7632689606</v>
      </c>
      <c r="GH14" s="6">
        <f t="shared" si="42"/>
        <v>0</v>
      </c>
      <c r="GI14" s="6">
        <f t="shared" si="43"/>
        <v>0</v>
      </c>
      <c r="GJ14" s="6">
        <f t="shared" si="44"/>
        <v>0</v>
      </c>
      <c r="GK14" s="6">
        <f t="shared" si="45"/>
        <v>0</v>
      </c>
      <c r="GL14" s="6">
        <f t="shared" si="46"/>
        <v>0</v>
      </c>
      <c r="GM14" s="6">
        <f t="shared" si="46"/>
        <v>3870644.537309071</v>
      </c>
      <c r="GN14" s="6">
        <f t="shared" si="46"/>
        <v>0</v>
      </c>
      <c r="GO14" s="6">
        <f t="shared" si="46"/>
        <v>0</v>
      </c>
      <c r="GP14" s="6">
        <f t="shared" si="47"/>
        <v>10098573.300578032</v>
      </c>
    </row>
    <row r="15" spans="1:198" x14ac:dyDescent="0.25">
      <c r="A15" s="10">
        <v>14</v>
      </c>
      <c r="B15" s="10" t="s">
        <v>142</v>
      </c>
      <c r="C15" s="10" t="s">
        <v>143</v>
      </c>
      <c r="D15" s="10" t="str">
        <f t="shared" si="48"/>
        <v>MS/SG</v>
      </c>
      <c r="E15" s="10">
        <f t="shared" si="49"/>
        <v>448792.84969646367</v>
      </c>
      <c r="F15" s="10">
        <f t="shared" si="9"/>
        <v>5.6843418860808015E-14</v>
      </c>
      <c r="G15" s="10">
        <f t="shared" si="10"/>
        <v>-5.8402228429624046</v>
      </c>
      <c r="H15" s="10">
        <f t="shared" si="11"/>
        <v>-3.0875422118143945</v>
      </c>
      <c r="I15" s="10">
        <f t="shared" si="50"/>
        <v>-5.8135168044591845E-3</v>
      </c>
      <c r="J15" s="10">
        <f t="shared" si="51"/>
        <v>4.5613358317874164E-3</v>
      </c>
      <c r="K15" s="10">
        <f t="shared" si="12"/>
        <v>-2.7526806311480101</v>
      </c>
      <c r="L15" s="10" t="s">
        <v>114</v>
      </c>
      <c r="N15" s="10">
        <f t="shared" si="52"/>
        <v>10</v>
      </c>
      <c r="O15" s="10">
        <f t="shared" si="13"/>
        <v>-2.997484331553693</v>
      </c>
      <c r="P15" s="10">
        <f t="shared" si="0"/>
        <v>-2.0316311458464895</v>
      </c>
      <c r="Q15" s="10">
        <f t="shared" si="1"/>
        <v>73.496632715814172</v>
      </c>
      <c r="R15" s="10">
        <f t="shared" si="14"/>
        <v>0.83844844553883346</v>
      </c>
      <c r="S15" s="6">
        <f t="shared" si="15"/>
        <v>0.84048827669912562</v>
      </c>
      <c r="T15" s="6">
        <v>400</v>
      </c>
      <c r="U15" s="6">
        <v>1.1000000000000001</v>
      </c>
      <c r="V15" s="10">
        <f t="shared" si="2"/>
        <v>3</v>
      </c>
      <c r="W15" s="10">
        <f t="shared" si="16"/>
        <v>6.666666666666667</v>
      </c>
      <c r="Y15" s="11">
        <f t="shared" si="17"/>
        <v>608693.75749089068</v>
      </c>
      <c r="Z15" s="11">
        <f t="shared" si="18"/>
        <v>596474.94977390743</v>
      </c>
      <c r="AB15" s="11">
        <v>243837.49329098201</v>
      </c>
      <c r="AC15" s="11">
        <v>299643.99368498899</v>
      </c>
      <c r="AD15" s="11">
        <v>347295.51310844498</v>
      </c>
      <c r="AE15" s="11">
        <v>414132.49750666402</v>
      </c>
      <c r="AF15" s="11">
        <v>472279.08272722899</v>
      </c>
      <c r="AG15" s="11">
        <v>556078.61113579397</v>
      </c>
      <c r="AH15" s="11">
        <v>615447.54114628898</v>
      </c>
      <c r="AI15" s="11">
        <v>600534.00633984199</v>
      </c>
      <c r="AJ15" s="11">
        <v>576305.35510243103</v>
      </c>
      <c r="AK15" s="11">
        <v>544947.44183854305</v>
      </c>
      <c r="AL15" s="11">
        <v>529232.78510993102</v>
      </c>
      <c r="AM15" s="11">
        <v>502455.60171841999</v>
      </c>
      <c r="AN15" s="11">
        <v>493005.55854723998</v>
      </c>
      <c r="AO15" s="11">
        <v>490197.298505418</v>
      </c>
      <c r="AP15" s="11">
        <v>517366.29504726402</v>
      </c>
      <c r="AQ15" s="11">
        <v>539386.02663610596</v>
      </c>
      <c r="AR15" s="11">
        <v>576302.84865030297</v>
      </c>
      <c r="AS15" s="11">
        <v>610933.40753266902</v>
      </c>
      <c r="AT15" s="11">
        <v>625998.07516321004</v>
      </c>
      <c r="AU15" s="11">
        <v>644198.55657742498</v>
      </c>
      <c r="AV15" s="11">
        <v>659483.63147888798</v>
      </c>
      <c r="AX15" s="14">
        <v>3.2888721496165063E-2</v>
      </c>
      <c r="AY15" s="14">
        <v>2.8843039908195367E-2</v>
      </c>
      <c r="AZ15" s="14">
        <v>2.3508826348185297E-2</v>
      </c>
      <c r="BA15" s="14">
        <v>1.727558717854083E-2</v>
      </c>
      <c r="BB15" s="14">
        <v>9.7904355801925469E-3</v>
      </c>
      <c r="BC15" s="14">
        <v>1.8178580442596015E-3</v>
      </c>
      <c r="BD15" s="14">
        <v>-3.3449229627590116E-3</v>
      </c>
      <c r="BE15" s="14">
        <v>-1.1079319634054174E-3</v>
      </c>
      <c r="BF15" s="14">
        <v>4.8934098997499564E-3</v>
      </c>
      <c r="BG15" s="14">
        <v>1.5235248091937992E-2</v>
      </c>
      <c r="BH15" s="14">
        <v>1.6126764918219072E-2</v>
      </c>
      <c r="BI15" s="14">
        <v>2.1540722483505803E-2</v>
      </c>
      <c r="BJ15" s="14">
        <v>2.7613026747848268E-2</v>
      </c>
      <c r="BK15" s="14">
        <v>2.6978579088403398E-2</v>
      </c>
      <c r="BL15" s="14">
        <v>2.5079662791946955E-2</v>
      </c>
      <c r="BM15" s="14">
        <v>2.5870185947085789E-2</v>
      </c>
      <c r="BN15" s="14">
        <v>2.6893536703573639E-2</v>
      </c>
      <c r="BO15" s="14">
        <v>2.3026535336124088E-2</v>
      </c>
      <c r="BP15" s="14">
        <v>1.6693942729572031E-2</v>
      </c>
      <c r="BQ15" s="14">
        <v>2.2786008601595631E-2</v>
      </c>
      <c r="BR15" s="14">
        <v>0</v>
      </c>
      <c r="BT15" s="11">
        <f t="shared" si="19"/>
        <v>465769.65368522739</v>
      </c>
      <c r="BU15" s="11">
        <f t="shared" si="20"/>
        <v>514326.53573377634</v>
      </c>
      <c r="BV15" s="11">
        <f t="shared" si="21"/>
        <v>527652.29587241157</v>
      </c>
      <c r="BW15" s="11">
        <f t="shared" si="22"/>
        <v>554109.87624843803</v>
      </c>
      <c r="BX15" s="11">
        <f t="shared" si="23"/>
        <v>551948.75377841806</v>
      </c>
      <c r="BY15" s="11">
        <f t="shared" si="24"/>
        <v>571436.16933341627</v>
      </c>
      <c r="BZ15" s="11">
        <f t="shared" si="25"/>
        <v>587245.10979145591</v>
      </c>
      <c r="CA15" s="11">
        <f t="shared" si="26"/>
        <v>591941.71148048237</v>
      </c>
      <c r="CB15" s="11">
        <f t="shared" si="27"/>
        <v>611072.34940924344</v>
      </c>
      <c r="CC15" s="11">
        <f t="shared" si="28"/>
        <v>643558.72509276215</v>
      </c>
      <c r="CD15" s="11">
        <f t="shared" si="29"/>
        <v>621048.68864106154</v>
      </c>
      <c r="CE15" s="11">
        <f t="shared" si="30"/>
        <v>608693.75749089068</v>
      </c>
      <c r="CF15" s="11">
        <f t="shared" si="31"/>
        <v>613039.73429460265</v>
      </c>
      <c r="CG15" s="11">
        <f t="shared" si="32"/>
        <v>590609.74592561787</v>
      </c>
      <c r="CH15" s="11">
        <f t="shared" si="33"/>
        <v>600266.12641392113</v>
      </c>
      <c r="CI15" s="11">
        <f t="shared" si="34"/>
        <v>612860.64457841089</v>
      </c>
      <c r="CJ15" s="11">
        <f t="shared" si="35"/>
        <v>640844.18502408732</v>
      </c>
      <c r="CK15" s="11">
        <f t="shared" si="36"/>
        <v>654115.69537710189</v>
      </c>
      <c r="CL15" s="11">
        <f t="shared" si="37"/>
        <v>647073.2851731109</v>
      </c>
      <c r="CM15" s="11">
        <f t="shared" si="38"/>
        <v>658877.27042873367</v>
      </c>
      <c r="CN15" s="11">
        <f t="shared" si="39"/>
        <v>659483.63147888798</v>
      </c>
      <c r="CP15" s="10" t="s">
        <v>142</v>
      </c>
      <c r="CQ15" s="10">
        <v>14</v>
      </c>
      <c r="CR15" s="10">
        <v>1610.5632000000001</v>
      </c>
      <c r="CS15" s="10">
        <v>159402</v>
      </c>
      <c r="CT15" s="10">
        <v>99</v>
      </c>
      <c r="CV15" s="10" t="s">
        <v>142</v>
      </c>
      <c r="CW15" s="10" t="s">
        <v>143</v>
      </c>
      <c r="CX15" s="10">
        <v>14</v>
      </c>
      <c r="CY15" s="10">
        <v>157890.18920249699</v>
      </c>
      <c r="CZ15" s="10">
        <v>98.034146814292797</v>
      </c>
      <c r="DA15" s="10">
        <v>1610.5632000000001</v>
      </c>
      <c r="DC15" s="10" t="s">
        <v>142</v>
      </c>
      <c r="DD15" s="10" t="s">
        <v>143</v>
      </c>
      <c r="DE15" s="11">
        <v>154618.113895243</v>
      </c>
      <c r="DF15" s="10">
        <v>14</v>
      </c>
      <c r="DG15" s="11">
        <v>96.002515668446307</v>
      </c>
      <c r="DH15" s="11">
        <v>1610.5631484619701</v>
      </c>
      <c r="DL15" s="11"/>
      <c r="EE15" s="10">
        <f>1500000*($DH15/(SUM($DH$12:$DH$15)))</f>
        <v>253421.15360020389</v>
      </c>
      <c r="EH15" s="10">
        <f t="shared" si="3"/>
        <v>385700.46898665879</v>
      </c>
      <c r="EN15" s="10">
        <f t="shared" si="4"/>
        <v>134995.16414533058</v>
      </c>
      <c r="ER15" s="10">
        <f t="shared" si="5"/>
        <v>774116.7867321932</v>
      </c>
      <c r="ES15" s="10">
        <f t="shared" si="40"/>
        <v>591854.8598800319</v>
      </c>
      <c r="ET15" s="10">
        <f t="shared" si="6"/>
        <v>1.4827185852190991E-2</v>
      </c>
      <c r="EU15" s="10">
        <f t="shared" si="7"/>
        <v>367.48317533853424</v>
      </c>
      <c r="FS15" s="10">
        <f>25300000*($DH15/(SUM($DH$12:$DH$15)))</f>
        <v>4274370.1240567723</v>
      </c>
      <c r="GB15" s="10">
        <f t="shared" si="8"/>
        <v>2656511.9801456123</v>
      </c>
      <c r="GG15" s="10">
        <f t="shared" si="41"/>
        <v>4274370.1240567723</v>
      </c>
      <c r="GH15" s="10">
        <f t="shared" si="42"/>
        <v>0</v>
      </c>
      <c r="GI15" s="10">
        <f t="shared" si="43"/>
        <v>0</v>
      </c>
      <c r="GJ15" s="10">
        <f t="shared" si="44"/>
        <v>0</v>
      </c>
      <c r="GK15" s="10">
        <f t="shared" si="45"/>
        <v>0</v>
      </c>
      <c r="GL15" s="10">
        <f t="shared" si="46"/>
        <v>0</v>
      </c>
      <c r="GM15" s="10">
        <f t="shared" si="46"/>
        <v>2656511.9801456123</v>
      </c>
      <c r="GN15" s="10">
        <f t="shared" si="46"/>
        <v>0</v>
      </c>
      <c r="GO15" s="10">
        <f t="shared" si="46"/>
        <v>0</v>
      </c>
      <c r="GP15" s="10">
        <f t="shared" si="47"/>
        <v>6930882.1042023841</v>
      </c>
    </row>
    <row r="16" spans="1:198" ht="15.75" x14ac:dyDescent="0.25">
      <c r="A16" s="6">
        <v>35</v>
      </c>
      <c r="B16" s="10" t="s">
        <v>146</v>
      </c>
      <c r="C16" s="10" t="s">
        <v>147</v>
      </c>
      <c r="L16" s="10" t="s">
        <v>145</v>
      </c>
      <c r="N16" s="10">
        <f>N15</f>
        <v>10</v>
      </c>
      <c r="O16" s="10">
        <f t="shared" si="13"/>
        <v>54.862146073804993</v>
      </c>
      <c r="P16" s="10">
        <f t="shared" si="0"/>
        <v>60.063064507107093</v>
      </c>
      <c r="Q16" s="10">
        <f t="shared" si="1"/>
        <v>198.09933688651037</v>
      </c>
      <c r="R16" s="10">
        <f t="shared" si="14"/>
        <v>0.76051270754061251</v>
      </c>
      <c r="S16" s="6">
        <f t="shared" si="15"/>
        <v>0.76920845106103874</v>
      </c>
      <c r="T16" s="6">
        <v>400</v>
      </c>
      <c r="U16" s="6">
        <v>1.1000000000000001</v>
      </c>
      <c r="V16" s="10">
        <f t="shared" si="2"/>
        <v>4</v>
      </c>
      <c r="W16" s="10">
        <f t="shared" si="16"/>
        <v>5</v>
      </c>
      <c r="Y16" s="11">
        <f t="shared" si="17"/>
        <v>123422.46839650477</v>
      </c>
      <c r="Z16" s="11">
        <f t="shared" si="18"/>
        <v>135164.76071555144</v>
      </c>
      <c r="AB16" s="11">
        <v>63380.590278389303</v>
      </c>
      <c r="AC16" s="11">
        <v>69208.099195501898</v>
      </c>
      <c r="AD16" s="11">
        <v>77587.123747423393</v>
      </c>
      <c r="AE16" s="11">
        <v>95126.569128750605</v>
      </c>
      <c r="AF16" s="11">
        <v>117777.944598623</v>
      </c>
      <c r="AG16" s="11">
        <v>151982.33331507101</v>
      </c>
      <c r="AH16" s="11">
        <v>184686.604526768</v>
      </c>
      <c r="AI16" s="11">
        <v>197032.55566328301</v>
      </c>
      <c r="AJ16" s="11">
        <v>182939.66345192501</v>
      </c>
      <c r="AK16" s="11">
        <v>159692.533923457</v>
      </c>
      <c r="AL16" s="11">
        <v>136536.52748188499</v>
      </c>
      <c r="AM16" s="11">
        <v>116014.96973895399</v>
      </c>
      <c r="AN16" s="11">
        <v>114342.099481308</v>
      </c>
      <c r="AO16" s="11">
        <v>102438.811753805</v>
      </c>
      <c r="AP16" s="11">
        <v>98652.303443597804</v>
      </c>
      <c r="AQ16" s="11">
        <v>101086.961082462</v>
      </c>
      <c r="AR16" s="11">
        <v>83358.563104228801</v>
      </c>
      <c r="AS16" s="11">
        <v>82228.419185250401</v>
      </c>
      <c r="AT16" s="11">
        <v>93627.299847576898</v>
      </c>
      <c r="AU16" s="11">
        <v>109641.287812572</v>
      </c>
      <c r="AV16" s="11">
        <v>121269.07090730401</v>
      </c>
      <c r="AX16" s="14">
        <v>3.2888721496165063E-2</v>
      </c>
      <c r="AY16" s="14">
        <v>2.8843039908195367E-2</v>
      </c>
      <c r="AZ16" s="14">
        <v>2.3508826348185297E-2</v>
      </c>
      <c r="BA16" s="14">
        <v>1.727558717854083E-2</v>
      </c>
      <c r="BB16" s="14">
        <v>9.7904355801925469E-3</v>
      </c>
      <c r="BC16" s="14">
        <v>1.8178580442596015E-3</v>
      </c>
      <c r="BD16" s="14">
        <v>-3.3449229627590116E-3</v>
      </c>
      <c r="BE16" s="14">
        <v>-1.1079319634054174E-3</v>
      </c>
      <c r="BF16" s="14">
        <v>4.8934098997499564E-3</v>
      </c>
      <c r="BG16" s="14">
        <v>1.5235248091937992E-2</v>
      </c>
      <c r="BH16" s="14">
        <v>1.6126764918219072E-2</v>
      </c>
      <c r="BI16" s="14">
        <v>2.1540722483505803E-2</v>
      </c>
      <c r="BJ16" s="14">
        <v>2.7613026747848268E-2</v>
      </c>
      <c r="BK16" s="14">
        <v>2.6978579088403398E-2</v>
      </c>
      <c r="BL16" s="14">
        <v>2.5079662791946955E-2</v>
      </c>
      <c r="BM16" s="14">
        <v>2.5870185947085789E-2</v>
      </c>
      <c r="BN16" s="14">
        <v>2.6893536703573639E-2</v>
      </c>
      <c r="BO16" s="14">
        <v>2.3026535336124088E-2</v>
      </c>
      <c r="BP16" s="14">
        <v>1.6693942729572031E-2</v>
      </c>
      <c r="BQ16" s="14">
        <v>2.2786008601595631E-2</v>
      </c>
      <c r="BR16" s="14">
        <v>0</v>
      </c>
      <c r="BT16" s="11">
        <f t="shared" si="19"/>
        <v>121067.3354040031</v>
      </c>
      <c r="BU16" s="11">
        <f t="shared" si="20"/>
        <v>118792.84302078518</v>
      </c>
      <c r="BV16" s="11">
        <f t="shared" si="21"/>
        <v>117879.50730789146</v>
      </c>
      <c r="BW16" s="11">
        <f t="shared" si="22"/>
        <v>127279.48607081309</v>
      </c>
      <c r="BX16" s="11">
        <f t="shared" si="23"/>
        <v>137646.13365555173</v>
      </c>
      <c r="BY16" s="11">
        <f t="shared" si="24"/>
        <v>156179.72102636826</v>
      </c>
      <c r="BZ16" s="11">
        <f t="shared" si="25"/>
        <v>176223.4765782475</v>
      </c>
      <c r="CA16" s="11">
        <f t="shared" si="26"/>
        <v>194213.46166147877</v>
      </c>
      <c r="CB16" s="11">
        <f t="shared" si="27"/>
        <v>193975.93472966249</v>
      </c>
      <c r="CC16" s="11">
        <f t="shared" si="28"/>
        <v>188589.78985548075</v>
      </c>
      <c r="CD16" s="11">
        <f t="shared" si="29"/>
        <v>160224.07101369454</v>
      </c>
      <c r="CE16" s="11">
        <f t="shared" si="30"/>
        <v>140544.93096321481</v>
      </c>
      <c r="CF16" s="11">
        <f t="shared" si="31"/>
        <v>142181.46036986605</v>
      </c>
      <c r="CG16" s="11">
        <f t="shared" si="32"/>
        <v>123422.46839650477</v>
      </c>
      <c r="CH16" s="11">
        <f t="shared" si="33"/>
        <v>114459.78722771136</v>
      </c>
      <c r="CI16" s="11">
        <f t="shared" si="34"/>
        <v>114856.92448103805</v>
      </c>
      <c r="CJ16" s="11">
        <f t="shared" si="35"/>
        <v>92694.059316932689</v>
      </c>
      <c r="CK16" s="11">
        <f t="shared" si="36"/>
        <v>88040.527710450508</v>
      </c>
      <c r="CL16" s="11">
        <f t="shared" si="37"/>
        <v>96779.410189822258</v>
      </c>
      <c r="CM16" s="11">
        <f t="shared" si="38"/>
        <v>112139.57513975928</v>
      </c>
      <c r="CN16" s="11">
        <f t="shared" si="39"/>
        <v>121269.07090730401</v>
      </c>
      <c r="CP16" s="10" t="s">
        <v>146</v>
      </c>
      <c r="CQ16" s="10">
        <v>35</v>
      </c>
      <c r="CR16" s="10">
        <v>5471.16</v>
      </c>
      <c r="CS16" s="10">
        <v>340265</v>
      </c>
      <c r="CT16" s="10">
        <v>62</v>
      </c>
      <c r="CV16" s="10" t="s">
        <v>146</v>
      </c>
      <c r="CW16" s="10" t="s">
        <v>147</v>
      </c>
      <c r="CX16" s="10">
        <v>35</v>
      </c>
      <c r="CY16" s="10">
        <v>310756.863104455</v>
      </c>
      <c r="CZ16" s="10">
        <v>56.7990815666979</v>
      </c>
      <c r="DA16" s="10">
        <v>5471.16</v>
      </c>
      <c r="DC16" s="10" t="s">
        <v>146</v>
      </c>
      <c r="DD16" s="10" t="s">
        <v>147</v>
      </c>
      <c r="DE16" s="11">
        <v>639371.47865327401</v>
      </c>
      <c r="DF16" s="10">
        <v>35</v>
      </c>
      <c r="DG16" s="11">
        <v>116.86214607380499</v>
      </c>
      <c r="DH16" s="11">
        <v>5471.15982492288</v>
      </c>
      <c r="DL16" s="11"/>
      <c r="DN16" s="10">
        <v>4000000</v>
      </c>
      <c r="DY16" s="10">
        <v>1003000</v>
      </c>
      <c r="EA16" s="10">
        <v>1325000</v>
      </c>
      <c r="EB16" s="10">
        <v>760000</v>
      </c>
      <c r="EQ16" s="12">
        <v>9500</v>
      </c>
      <c r="ER16" s="10">
        <f t="shared" ref="ER16:ER23" si="53">SUM(DJ16:EN16)</f>
        <v>7088000</v>
      </c>
      <c r="ES16" s="10">
        <f t="shared" si="40"/>
        <v>5419165.8399999999</v>
      </c>
      <c r="ET16" s="10">
        <f t="shared" si="6"/>
        <v>0.13576128966789547</v>
      </c>
      <c r="EU16" s="10">
        <f t="shared" si="7"/>
        <v>990.49671612844668</v>
      </c>
      <c r="FA16" s="10">
        <v>27384615</v>
      </c>
      <c r="FL16" s="10">
        <v>7658450</v>
      </c>
      <c r="FO16" s="10">
        <v>21015965</v>
      </c>
      <c r="FP16" s="10">
        <v>11273117</v>
      </c>
      <c r="GE16" s="10">
        <v>700000</v>
      </c>
      <c r="GG16" s="10">
        <f t="shared" ref="GG16:GG23" si="54">FS16+FT16</f>
        <v>0</v>
      </c>
      <c r="GH16" s="10">
        <f t="shared" ref="GH16:GH23" si="55">FU16</f>
        <v>0</v>
      </c>
      <c r="GI16" s="10">
        <f t="shared" ref="GI16:GI23" si="56">FV16+FW16</f>
        <v>0</v>
      </c>
      <c r="GJ16" s="10">
        <f t="shared" ref="GJ16:GJ23" si="57">FX16</f>
        <v>0</v>
      </c>
      <c r="GK16" s="10">
        <f t="shared" ref="GK16:GK23" si="58">FY16+FZ16</f>
        <v>0</v>
      </c>
      <c r="GL16" s="10">
        <f t="shared" ref="GL16:GO23" si="59">GA16</f>
        <v>0</v>
      </c>
      <c r="GM16" s="10">
        <f t="shared" si="59"/>
        <v>0</v>
      </c>
      <c r="GN16" s="10">
        <f t="shared" si="59"/>
        <v>0</v>
      </c>
      <c r="GO16" s="10">
        <f t="shared" si="59"/>
        <v>0</v>
      </c>
      <c r="GP16" s="10">
        <f t="shared" ref="GP16:GP23" si="60">SUM(EW16:GB16)</f>
        <v>67332147</v>
      </c>
    </row>
    <row r="17" spans="1:198" s="6" customFormat="1" x14ac:dyDescent="0.25">
      <c r="A17" s="6">
        <v>36</v>
      </c>
      <c r="B17" s="6" t="s">
        <v>148</v>
      </c>
      <c r="C17" s="6" t="s">
        <v>149</v>
      </c>
      <c r="D17" s="10" t="str">
        <f t="shared" si="48"/>
        <v>VC/AC</v>
      </c>
      <c r="E17" s="10">
        <f t="shared" ref="E17:E19" si="61">IF(Z17&gt;Z16,Z17-Z16,Z16-Z17)</f>
        <v>161398.95962404634</v>
      </c>
      <c r="F17" s="10">
        <f>IF(Z17&gt;Z16,EU17-EU16,EU16-EU17)</f>
        <v>109.94762119681377</v>
      </c>
      <c r="G17" s="10">
        <f>IF(Z17&gt;Z16,DG17-DG16,DG16-DG17)</f>
        <v>-6.7498718711369889</v>
      </c>
      <c r="H17" s="10">
        <f>IF(Z17&gt;Z16,CZ17-CZ16,CZ16-CZ17)</f>
        <v>-3.5884088234720011</v>
      </c>
      <c r="I17" s="10">
        <f>IF(Z17&gt;Z16,S17-S16,S16-S17)</f>
        <v>-3.2375989422645191E-2</v>
      </c>
      <c r="J17" s="10">
        <f t="shared" ref="J17:J19" si="62">IF(Z17&gt;Z16,R17-R16,R16-R17)</f>
        <v>-2.8178516125739628E-2</v>
      </c>
      <c r="K17" s="10">
        <f>IF(Z17&gt;Z16,P17-P16,P16-P17)</f>
        <v>-3.1614630476649879</v>
      </c>
      <c r="L17" s="6" t="s">
        <v>145</v>
      </c>
      <c r="N17" s="6">
        <f t="shared" si="52"/>
        <v>10</v>
      </c>
      <c r="O17" s="6">
        <f t="shared" si="13"/>
        <v>54.112274202668004</v>
      </c>
      <c r="P17" s="6">
        <f t="shared" si="0"/>
        <v>56.901601459442105</v>
      </c>
      <c r="Q17" s="6">
        <f t="shared" si="1"/>
        <v>220.08886042220843</v>
      </c>
      <c r="R17" s="6">
        <f t="shared" si="14"/>
        <v>0.73233419141487288</v>
      </c>
      <c r="S17" s="6">
        <f t="shared" si="15"/>
        <v>0.73683246163839355</v>
      </c>
      <c r="T17" s="6">
        <v>400</v>
      </c>
      <c r="U17" s="6">
        <v>1.1000000000000001</v>
      </c>
      <c r="V17" s="6">
        <f t="shared" si="2"/>
        <v>4</v>
      </c>
      <c r="W17" s="6">
        <f t="shared" si="16"/>
        <v>5</v>
      </c>
      <c r="Y17" s="8">
        <f t="shared" si="17"/>
        <v>296941.25276967546</v>
      </c>
      <c r="Z17" s="8">
        <f t="shared" si="18"/>
        <v>296563.72033959778</v>
      </c>
      <c r="AA17" s="16"/>
      <c r="AB17" s="8">
        <v>135723.68003704801</v>
      </c>
      <c r="AC17" s="8">
        <v>144333.220898106</v>
      </c>
      <c r="AD17" s="8">
        <v>161767.27120270199</v>
      </c>
      <c r="AE17" s="8">
        <v>202386.270300381</v>
      </c>
      <c r="AF17" s="8">
        <v>254445.00566241401</v>
      </c>
      <c r="AG17" s="8">
        <v>310430.41675882897</v>
      </c>
      <c r="AH17" s="8">
        <v>365319.070546659</v>
      </c>
      <c r="AI17" s="8">
        <v>367221.10987674602</v>
      </c>
      <c r="AJ17" s="8">
        <v>334057.12656638899</v>
      </c>
      <c r="AK17" s="8">
        <v>290961.803465417</v>
      </c>
      <c r="AL17" s="8">
        <v>280918.09486654802</v>
      </c>
      <c r="AM17" s="8">
        <v>261647.122836469</v>
      </c>
      <c r="AN17" s="8">
        <v>265378.31018312002</v>
      </c>
      <c r="AO17" s="8">
        <v>257493.72129991901</v>
      </c>
      <c r="AP17" s="8">
        <v>255932.142481424</v>
      </c>
      <c r="AQ17" s="8">
        <v>234645.795234283</v>
      </c>
      <c r="AR17" s="8">
        <v>231572.90981934499</v>
      </c>
      <c r="AS17" s="8">
        <v>228186.606960915</v>
      </c>
      <c r="AT17" s="8">
        <v>248018.19644273099</v>
      </c>
      <c r="AU17" s="8">
        <v>269215.10172620701</v>
      </c>
      <c r="AV17" s="8">
        <v>295588.53189186001</v>
      </c>
      <c r="AW17" s="16"/>
      <c r="AX17" s="13">
        <v>3.2888721496165063E-2</v>
      </c>
      <c r="AY17" s="13">
        <v>2.8843039908195367E-2</v>
      </c>
      <c r="AZ17" s="13">
        <v>2.3508826348185297E-2</v>
      </c>
      <c r="BA17" s="13">
        <v>1.727558717854083E-2</v>
      </c>
      <c r="BB17" s="13">
        <v>9.7904355801925469E-3</v>
      </c>
      <c r="BC17" s="13">
        <v>1.8178580442596015E-3</v>
      </c>
      <c r="BD17" s="13">
        <v>-3.3449229627590116E-3</v>
      </c>
      <c r="BE17" s="13">
        <v>-1.1079319634054174E-3</v>
      </c>
      <c r="BF17" s="13">
        <v>4.8934098997499564E-3</v>
      </c>
      <c r="BG17" s="13">
        <v>1.5235248091937992E-2</v>
      </c>
      <c r="BH17" s="13">
        <v>1.6126764918219072E-2</v>
      </c>
      <c r="BI17" s="13">
        <v>2.1540722483505803E-2</v>
      </c>
      <c r="BJ17" s="13">
        <v>2.7613026747848268E-2</v>
      </c>
      <c r="BK17" s="13">
        <v>2.6978579088403398E-2</v>
      </c>
      <c r="BL17" s="13">
        <v>2.5079662791946955E-2</v>
      </c>
      <c r="BM17" s="13">
        <v>2.5870185947085789E-2</v>
      </c>
      <c r="BN17" s="13">
        <v>2.6893536703573639E-2</v>
      </c>
      <c r="BO17" s="13">
        <v>2.3026535336124088E-2</v>
      </c>
      <c r="BP17" s="13">
        <v>1.6693942729572031E-2</v>
      </c>
      <c r="BQ17" s="13">
        <v>2.2786008601595631E-2</v>
      </c>
      <c r="BR17" s="13">
        <v>0</v>
      </c>
      <c r="BS17" s="16"/>
      <c r="BT17" s="8">
        <f t="shared" si="19"/>
        <v>259254.51658208304</v>
      </c>
      <c r="BU17" s="8">
        <f t="shared" si="20"/>
        <v>247742.01072043582</v>
      </c>
      <c r="BV17" s="8">
        <f t="shared" si="21"/>
        <v>245775.91366827587</v>
      </c>
      <c r="BW17" s="8">
        <f t="shared" si="22"/>
        <v>270793.12023496168</v>
      </c>
      <c r="BX17" s="8">
        <f t="shared" si="23"/>
        <v>297367.82533226284</v>
      </c>
      <c r="BY17" s="8">
        <f t="shared" si="24"/>
        <v>319003.7607001618</v>
      </c>
      <c r="BZ17" s="8">
        <f t="shared" si="25"/>
        <v>348578.59256779804</v>
      </c>
      <c r="CA17" s="8">
        <f t="shared" si="26"/>
        <v>361966.99933290994</v>
      </c>
      <c r="CB17" s="8">
        <f t="shared" si="27"/>
        <v>354209.91903075797</v>
      </c>
      <c r="CC17" s="8">
        <f t="shared" si="28"/>
        <v>343612.96688933403</v>
      </c>
      <c r="CD17" s="8">
        <f t="shared" si="29"/>
        <v>329654.2076397927</v>
      </c>
      <c r="CE17" s="8">
        <f t="shared" si="30"/>
        <v>316969.24024993385</v>
      </c>
      <c r="CF17" s="8">
        <f t="shared" si="31"/>
        <v>329991.1044443564</v>
      </c>
      <c r="CG17" s="8">
        <f t="shared" si="32"/>
        <v>310238.96251175721</v>
      </c>
      <c r="CH17" s="8">
        <f t="shared" si="33"/>
        <v>296941.25276967546</v>
      </c>
      <c r="CI17" s="8">
        <f t="shared" si="34"/>
        <v>266609.00767441257</v>
      </c>
      <c r="CJ17" s="8">
        <f t="shared" si="35"/>
        <v>257507.23428556943</v>
      </c>
      <c r="CK17" s="8">
        <f t="shared" si="36"/>
        <v>244315.40205140741</v>
      </c>
      <c r="CL17" s="8">
        <f t="shared" si="37"/>
        <v>256368.11920398645</v>
      </c>
      <c r="CM17" s="8">
        <f t="shared" si="38"/>
        <v>275349.43934981979</v>
      </c>
      <c r="CN17" s="8">
        <f t="shared" si="39"/>
        <v>295588.53189186001</v>
      </c>
      <c r="CO17" s="9"/>
      <c r="CP17" s="10" t="s">
        <v>148</v>
      </c>
      <c r="CQ17" s="10">
        <v>36</v>
      </c>
      <c r="CR17" s="10">
        <v>2667.9144000000001</v>
      </c>
      <c r="CS17" s="10">
        <v>148613</v>
      </c>
      <c r="CT17" s="10">
        <v>56</v>
      </c>
      <c r="CU17" s="9"/>
      <c r="CV17" s="10" t="s">
        <v>148</v>
      </c>
      <c r="CW17" s="10" t="s">
        <v>149</v>
      </c>
      <c r="CX17" s="10">
        <v>36</v>
      </c>
      <c r="CY17" s="10">
        <v>141961.52004534</v>
      </c>
      <c r="CZ17" s="10">
        <v>53.210672743225899</v>
      </c>
      <c r="DA17" s="10">
        <v>2667.9144000000001</v>
      </c>
      <c r="DB17" s="9"/>
      <c r="DC17" s="10" t="s">
        <v>148</v>
      </c>
      <c r="DD17" s="10" t="s">
        <v>149</v>
      </c>
      <c r="DE17" s="11">
        <v>293770.11256140401</v>
      </c>
      <c r="DF17" s="10">
        <v>36</v>
      </c>
      <c r="DG17" s="11">
        <v>110.112274202668</v>
      </c>
      <c r="DH17" s="11">
        <v>2667.9143146267402</v>
      </c>
      <c r="DI17" s="9"/>
      <c r="DL17" s="8"/>
      <c r="DN17" s="6">
        <v>3000000</v>
      </c>
      <c r="DY17" s="6">
        <v>175000</v>
      </c>
      <c r="EA17" s="6">
        <v>325000</v>
      </c>
      <c r="EE17" s="6">
        <v>340000</v>
      </c>
      <c r="ER17" s="6">
        <f t="shared" si="53"/>
        <v>3840000</v>
      </c>
      <c r="ES17" s="6">
        <f t="shared" si="40"/>
        <v>2935891.1999999997</v>
      </c>
      <c r="ET17" s="6">
        <f t="shared" si="6"/>
        <v>7.3550134357324867E-2</v>
      </c>
      <c r="EU17" s="6">
        <f t="shared" si="7"/>
        <v>1100.4443373252604</v>
      </c>
      <c r="EV17" s="18"/>
      <c r="FA17" s="6">
        <v>9538462</v>
      </c>
      <c r="FM17" s="6">
        <v>2667550</v>
      </c>
      <c r="FO17" s="6">
        <v>6830187</v>
      </c>
      <c r="FS17" s="6">
        <v>6061143</v>
      </c>
      <c r="GF17" s="18"/>
      <c r="GG17" s="6">
        <f t="shared" si="54"/>
        <v>6061143</v>
      </c>
      <c r="GH17" s="6">
        <f t="shared" si="55"/>
        <v>0</v>
      </c>
      <c r="GI17" s="6">
        <f t="shared" si="56"/>
        <v>0</v>
      </c>
      <c r="GJ17" s="6">
        <f t="shared" si="57"/>
        <v>0</v>
      </c>
      <c r="GK17" s="6">
        <f t="shared" si="58"/>
        <v>0</v>
      </c>
      <c r="GL17" s="6">
        <f t="shared" si="59"/>
        <v>0</v>
      </c>
      <c r="GM17" s="6">
        <f t="shared" si="59"/>
        <v>0</v>
      </c>
      <c r="GN17" s="6">
        <f t="shared" si="59"/>
        <v>0</v>
      </c>
      <c r="GO17" s="6">
        <f t="shared" si="59"/>
        <v>0</v>
      </c>
      <c r="GP17" s="6">
        <f t="shared" si="60"/>
        <v>25097342</v>
      </c>
    </row>
    <row r="18" spans="1:198" x14ac:dyDescent="0.25">
      <c r="A18" s="6">
        <v>37</v>
      </c>
      <c r="B18" s="10" t="s">
        <v>150</v>
      </c>
      <c r="C18" s="10" t="s">
        <v>151</v>
      </c>
      <c r="D18" s="10" t="str">
        <f t="shared" si="48"/>
        <v>MC/VC</v>
      </c>
      <c r="E18" s="10">
        <f t="shared" si="61"/>
        <v>228690.73029010755</v>
      </c>
      <c r="F18" s="10">
        <f>IF(Z18&gt;Z17,EU18-EU17,EU17-EU18)</f>
        <v>-1100.4443373252604</v>
      </c>
      <c r="G18" s="10">
        <f>IF(Z18&gt;Z17,DG18-DG17,DG17-DG18)</f>
        <v>32.264611188605983</v>
      </c>
      <c r="H18" s="10">
        <f>IF(Z18&gt;Z17,CZ18-CZ17,CZ17-CZ18)</f>
        <v>23.972979238222607</v>
      </c>
      <c r="I18" s="10">
        <f>IF(Z18&gt;Z17,S18-S17,S17-S18)</f>
        <v>0.36316753836160653</v>
      </c>
      <c r="J18" s="10">
        <f t="shared" si="62"/>
        <v>0.36766580858512721</v>
      </c>
      <c r="K18" s="10">
        <f>IF(Z18&gt;Z17,P18-P17,P17-P18)</f>
        <v>8.2916319503833762</v>
      </c>
      <c r="L18" s="10" t="s">
        <v>145</v>
      </c>
      <c r="N18" s="10">
        <f t="shared" si="52"/>
        <v>10</v>
      </c>
      <c r="O18" s="10">
        <f t="shared" si="13"/>
        <v>49.376885391273987</v>
      </c>
      <c r="P18" s="10">
        <f t="shared" si="0"/>
        <v>65.193233409825481</v>
      </c>
      <c r="Q18" s="10">
        <f t="shared" si="1"/>
        <v>0</v>
      </c>
      <c r="R18" s="10">
        <f t="shared" si="14"/>
        <v>1.1000000000000001</v>
      </c>
      <c r="S18" s="6">
        <f t="shared" si="15"/>
        <v>1.1000000000000001</v>
      </c>
      <c r="T18" s="6">
        <v>400</v>
      </c>
      <c r="U18" s="6">
        <v>1.1000000000000001</v>
      </c>
      <c r="V18" s="10">
        <f t="shared" si="2"/>
        <v>0</v>
      </c>
      <c r="W18" s="10" t="str">
        <f t="shared" si="16"/>
        <v>NaN</v>
      </c>
      <c r="Y18" s="11">
        <f t="shared" si="17"/>
        <v>523425.62298006431</v>
      </c>
      <c r="Z18" s="11">
        <f t="shared" si="18"/>
        <v>525254.45062970533</v>
      </c>
      <c r="AB18" s="11">
        <v>219097.65542683899</v>
      </c>
      <c r="AC18" s="11">
        <v>245626.157860309</v>
      </c>
      <c r="AD18" s="11">
        <v>277697.36034732702</v>
      </c>
      <c r="AE18" s="11">
        <v>342565.76237481699</v>
      </c>
      <c r="AF18" s="11">
        <v>412659.24157814198</v>
      </c>
      <c r="AG18" s="11">
        <v>496071.42425043898</v>
      </c>
      <c r="AH18" s="11">
        <v>590125.38680179499</v>
      </c>
      <c r="AI18" s="11">
        <v>593702.37431705301</v>
      </c>
      <c r="AJ18" s="11">
        <v>560427.99964869197</v>
      </c>
      <c r="AK18" s="11">
        <v>508193.54855628201</v>
      </c>
      <c r="AL18" s="11">
        <v>493655.691699669</v>
      </c>
      <c r="AM18" s="11">
        <v>460515.856943405</v>
      </c>
      <c r="AN18" s="11">
        <v>484393.58194234897</v>
      </c>
      <c r="AO18" s="11">
        <v>486495.55412448599</v>
      </c>
      <c r="AP18" s="11">
        <v>479509.89635458001</v>
      </c>
      <c r="AQ18" s="11">
        <v>469535.17522840301</v>
      </c>
      <c r="AR18" s="11">
        <v>470709.86150655698</v>
      </c>
      <c r="AS18" s="11">
        <v>477486.99497398903</v>
      </c>
      <c r="AT18" s="11">
        <v>484655.92674626998</v>
      </c>
      <c r="AU18" s="11">
        <v>499075.69404417201</v>
      </c>
      <c r="AV18" s="11">
        <v>513646.29099542397</v>
      </c>
      <c r="AX18" s="14">
        <v>3.2888721496165063E-2</v>
      </c>
      <c r="AY18" s="14">
        <v>2.8843039908195367E-2</v>
      </c>
      <c r="AZ18" s="14">
        <v>2.3508826348185297E-2</v>
      </c>
      <c r="BA18" s="14">
        <v>1.727558717854083E-2</v>
      </c>
      <c r="BB18" s="14">
        <v>9.7904355801925469E-3</v>
      </c>
      <c r="BC18" s="14">
        <v>1.8178580442596015E-3</v>
      </c>
      <c r="BD18" s="14">
        <v>-3.3449229627590116E-3</v>
      </c>
      <c r="BE18" s="14">
        <v>-1.1079319634054174E-3</v>
      </c>
      <c r="BF18" s="14">
        <v>4.8934098997499564E-3</v>
      </c>
      <c r="BG18" s="14">
        <v>1.5235248091937992E-2</v>
      </c>
      <c r="BH18" s="14">
        <v>1.6126764918219072E-2</v>
      </c>
      <c r="BI18" s="14">
        <v>2.1540722483505803E-2</v>
      </c>
      <c r="BJ18" s="14">
        <v>2.7613026747848268E-2</v>
      </c>
      <c r="BK18" s="14">
        <v>2.6978579088403398E-2</v>
      </c>
      <c r="BL18" s="14">
        <v>2.5079662791946955E-2</v>
      </c>
      <c r="BM18" s="14">
        <v>2.5870185947085789E-2</v>
      </c>
      <c r="BN18" s="14">
        <v>2.6893536703573639E-2</v>
      </c>
      <c r="BO18" s="14">
        <v>2.3026535336124088E-2</v>
      </c>
      <c r="BP18" s="14">
        <v>1.6693942729572031E-2</v>
      </c>
      <c r="BQ18" s="14">
        <v>2.2786008601595631E-2</v>
      </c>
      <c r="BR18" s="14">
        <v>0</v>
      </c>
      <c r="BT18" s="11">
        <f t="shared" si="19"/>
        <v>418512.50074009114</v>
      </c>
      <c r="BU18" s="11">
        <f t="shared" si="20"/>
        <v>421607.15222178388</v>
      </c>
      <c r="BV18" s="11">
        <f t="shared" si="21"/>
        <v>421910.57532960811</v>
      </c>
      <c r="BW18" s="11">
        <f t="shared" si="22"/>
        <v>458353.48189116013</v>
      </c>
      <c r="BX18" s="11">
        <f t="shared" si="23"/>
        <v>482271.52642233856</v>
      </c>
      <c r="BY18" s="11">
        <f t="shared" si="24"/>
        <v>509771.72779662785</v>
      </c>
      <c r="BZ18" s="11">
        <f t="shared" si="25"/>
        <v>563083.32456360012</v>
      </c>
      <c r="CA18" s="11">
        <f t="shared" si="26"/>
        <v>585207.82479116449</v>
      </c>
      <c r="CB18" s="11">
        <f t="shared" si="27"/>
        <v>594237.15464032174</v>
      </c>
      <c r="CC18" s="11">
        <f t="shared" si="28"/>
        <v>600154.00954234879</v>
      </c>
      <c r="CD18" s="11">
        <f t="shared" si="29"/>
        <v>579299.37183803273</v>
      </c>
      <c r="CE18" s="11">
        <f t="shared" si="30"/>
        <v>557886.36127915699</v>
      </c>
      <c r="CF18" s="11">
        <f t="shared" si="31"/>
        <v>602330.96284551197</v>
      </c>
      <c r="CG18" s="11">
        <f t="shared" si="32"/>
        <v>586149.73295743205</v>
      </c>
      <c r="CH18" s="11">
        <f t="shared" si="33"/>
        <v>556343.83379305655</v>
      </c>
      <c r="CI18" s="11">
        <f t="shared" si="34"/>
        <v>533494.78097780189</v>
      </c>
      <c r="CJ18" s="11">
        <f t="shared" si="35"/>
        <v>523425.62298006431</v>
      </c>
      <c r="CK18" s="11">
        <f t="shared" si="36"/>
        <v>511236.95954412513</v>
      </c>
      <c r="CL18" s="11">
        <f t="shared" si="37"/>
        <v>500972.63097264909</v>
      </c>
      <c r="CM18" s="11">
        <f t="shared" si="38"/>
        <v>510447.63710150984</v>
      </c>
      <c r="CN18" s="11">
        <f t="shared" si="39"/>
        <v>513646.29099542397</v>
      </c>
      <c r="CP18" s="10" t="s">
        <v>150</v>
      </c>
      <c r="CQ18" s="10">
        <v>37</v>
      </c>
      <c r="CR18" s="10">
        <v>2648.1024000000002</v>
      </c>
      <c r="CS18" s="10">
        <v>246181</v>
      </c>
      <c r="CT18" s="10">
        <v>93</v>
      </c>
      <c r="CV18" s="10" t="s">
        <v>150</v>
      </c>
      <c r="CW18" s="10" t="s">
        <v>151</v>
      </c>
      <c r="CX18" s="10">
        <v>37</v>
      </c>
      <c r="CY18" s="10">
        <v>204390.21405283801</v>
      </c>
      <c r="CZ18" s="10">
        <v>77.183651981448506</v>
      </c>
      <c r="DA18" s="10">
        <v>2648.1024000000002</v>
      </c>
      <c r="DC18" s="10" t="s">
        <v>150</v>
      </c>
      <c r="DD18" s="10" t="s">
        <v>151</v>
      </c>
      <c r="DE18" s="11">
        <v>377028.55984424398</v>
      </c>
      <c r="DF18" s="10">
        <v>37</v>
      </c>
      <c r="DG18" s="11">
        <v>142.37688539127399</v>
      </c>
      <c r="DH18" s="11">
        <v>2648.1023152607199</v>
      </c>
      <c r="DL18" s="11"/>
      <c r="ER18" s="10">
        <f t="shared" si="53"/>
        <v>0</v>
      </c>
      <c r="ES18" s="10">
        <f t="shared" si="40"/>
        <v>0</v>
      </c>
      <c r="ET18" s="10">
        <f t="shared" si="6"/>
        <v>0</v>
      </c>
      <c r="EU18" s="10">
        <f t="shared" si="7"/>
        <v>0</v>
      </c>
      <c r="GG18" s="10">
        <f t="shared" si="54"/>
        <v>0</v>
      </c>
      <c r="GH18" s="10">
        <f t="shared" si="55"/>
        <v>0</v>
      </c>
      <c r="GI18" s="10">
        <f t="shared" si="56"/>
        <v>0</v>
      </c>
      <c r="GJ18" s="10">
        <f t="shared" si="57"/>
        <v>0</v>
      </c>
      <c r="GK18" s="10">
        <f t="shared" si="58"/>
        <v>0</v>
      </c>
      <c r="GL18" s="10">
        <f t="shared" si="59"/>
        <v>0</v>
      </c>
      <c r="GM18" s="10">
        <f t="shared" si="59"/>
        <v>0</v>
      </c>
      <c r="GN18" s="10">
        <f t="shared" si="59"/>
        <v>0</v>
      </c>
      <c r="GO18" s="10">
        <f t="shared" si="59"/>
        <v>0</v>
      </c>
      <c r="GP18" s="10">
        <f t="shared" si="60"/>
        <v>0</v>
      </c>
    </row>
    <row r="19" spans="1:198" s="6" customFormat="1" x14ac:dyDescent="0.25">
      <c r="A19" s="6">
        <v>38</v>
      </c>
      <c r="B19" s="6" t="s">
        <v>152</v>
      </c>
      <c r="C19" s="6" t="s">
        <v>153</v>
      </c>
      <c r="D19" s="10" t="str">
        <f t="shared" si="48"/>
        <v>LP/MC</v>
      </c>
      <c r="E19" s="10">
        <f t="shared" si="61"/>
        <v>231552.2852721879</v>
      </c>
      <c r="F19" s="10">
        <f>IF(Z19&gt;Z18,EU19-EU18,EU18-EU19)</f>
        <v>0</v>
      </c>
      <c r="G19" s="10">
        <f>IF(Z19&gt;Z18,DG19-DG18,DG18-DG19)</f>
        <v>-14.393422212933984</v>
      </c>
      <c r="H19" s="10">
        <f>IF(Z19&gt;Z18,CZ19-CZ18,CZ18-CZ19)</f>
        <v>-4.9054336553613069</v>
      </c>
      <c r="I19" s="10">
        <f>IF(Z19&gt;Z18,S19-S18,S18-S19)</f>
        <v>0</v>
      </c>
      <c r="J19" s="10">
        <f t="shared" si="62"/>
        <v>0</v>
      </c>
      <c r="K19" s="10">
        <f>IF(Z19&gt;Z18,P19-P18,P18-P19)</f>
        <v>-9.4879885575726775</v>
      </c>
      <c r="L19" s="6" t="s">
        <v>145</v>
      </c>
      <c r="N19" s="6">
        <f t="shared" si="52"/>
        <v>10</v>
      </c>
      <c r="O19" s="6">
        <f t="shared" si="13"/>
        <v>57.983463178340003</v>
      </c>
      <c r="P19" s="6">
        <f t="shared" si="0"/>
        <v>55.705244852252804</v>
      </c>
      <c r="Q19" s="6">
        <f t="shared" si="1"/>
        <v>0</v>
      </c>
      <c r="R19" s="6">
        <f t="shared" si="14"/>
        <v>1.1000000000000001</v>
      </c>
      <c r="S19" s="6">
        <f t="shared" si="15"/>
        <v>1.1000000000000001</v>
      </c>
      <c r="T19" s="6">
        <v>400</v>
      </c>
      <c r="U19" s="6">
        <v>1.1000000000000001</v>
      </c>
      <c r="V19" s="6">
        <f t="shared" si="2"/>
        <v>0</v>
      </c>
      <c r="W19" s="6" t="str">
        <f t="shared" si="16"/>
        <v>NaN</v>
      </c>
      <c r="Y19" s="8">
        <f t="shared" si="17"/>
        <v>761029.6282091547</v>
      </c>
      <c r="Z19" s="8">
        <f t="shared" si="18"/>
        <v>756806.73590189323</v>
      </c>
      <c r="AA19" s="16"/>
      <c r="AB19" s="8">
        <v>316582.25713882799</v>
      </c>
      <c r="AC19" s="8">
        <v>351255.85489291197</v>
      </c>
      <c r="AD19" s="8">
        <v>405643.797991534</v>
      </c>
      <c r="AE19" s="8">
        <v>486955.51642399398</v>
      </c>
      <c r="AF19" s="8">
        <v>587713.79713291302</v>
      </c>
      <c r="AG19" s="8">
        <v>721707.96379830199</v>
      </c>
      <c r="AH19" s="8">
        <v>831531.13352915796</v>
      </c>
      <c r="AI19" s="8">
        <v>869217.733985545</v>
      </c>
      <c r="AJ19" s="8">
        <v>802139.13305354898</v>
      </c>
      <c r="AK19" s="8">
        <v>729523.67063014896</v>
      </c>
      <c r="AL19" s="8">
        <v>706138.25535191596</v>
      </c>
      <c r="AM19" s="8">
        <v>662464.297172472</v>
      </c>
      <c r="AN19" s="8">
        <v>675861.59786618105</v>
      </c>
      <c r="AO19" s="8">
        <v>694342.98855810403</v>
      </c>
      <c r="AP19" s="8">
        <v>709176.207038605</v>
      </c>
      <c r="AQ19" s="8">
        <v>678189.67960081098</v>
      </c>
      <c r="AR19" s="8">
        <v>684384.05605214601</v>
      </c>
      <c r="AS19" s="8">
        <v>690327.77154105599</v>
      </c>
      <c r="AT19" s="8">
        <v>712274.62865708803</v>
      </c>
      <c r="AU19" s="8">
        <v>740724.78586360998</v>
      </c>
      <c r="AV19" s="8">
        <v>731122.38469622203</v>
      </c>
      <c r="AW19" s="16"/>
      <c r="AX19" s="13">
        <v>3.2888721496165063E-2</v>
      </c>
      <c r="AY19" s="13">
        <v>2.8843039908195367E-2</v>
      </c>
      <c r="AZ19" s="13">
        <v>2.3508826348185297E-2</v>
      </c>
      <c r="BA19" s="13">
        <v>1.727558717854083E-2</v>
      </c>
      <c r="BB19" s="13">
        <v>9.7904355801925469E-3</v>
      </c>
      <c r="BC19" s="13">
        <v>1.8178580442596015E-3</v>
      </c>
      <c r="BD19" s="13">
        <v>-3.3449229627590116E-3</v>
      </c>
      <c r="BE19" s="13">
        <v>-1.1079319634054174E-3</v>
      </c>
      <c r="BF19" s="13">
        <v>4.8934098997499564E-3</v>
      </c>
      <c r="BG19" s="13">
        <v>1.5235248091937992E-2</v>
      </c>
      <c r="BH19" s="13">
        <v>1.6126764918219072E-2</v>
      </c>
      <c r="BI19" s="13">
        <v>2.1540722483505803E-2</v>
      </c>
      <c r="BJ19" s="13">
        <v>2.7613026747848268E-2</v>
      </c>
      <c r="BK19" s="13">
        <v>2.6978579088403398E-2</v>
      </c>
      <c r="BL19" s="13">
        <v>2.5079662791946955E-2</v>
      </c>
      <c r="BM19" s="13">
        <v>2.5870185947085789E-2</v>
      </c>
      <c r="BN19" s="13">
        <v>2.6893536703573639E-2</v>
      </c>
      <c r="BO19" s="13">
        <v>2.3026535336124088E-2</v>
      </c>
      <c r="BP19" s="13">
        <v>1.6693942729572031E-2</v>
      </c>
      <c r="BQ19" s="13">
        <v>2.2786008601595631E-2</v>
      </c>
      <c r="BR19" s="13">
        <v>0</v>
      </c>
      <c r="BS19" s="16"/>
      <c r="BT19" s="8">
        <f t="shared" si="19"/>
        <v>604724.09833411337</v>
      </c>
      <c r="BU19" s="8">
        <f t="shared" si="20"/>
        <v>602916.16321601521</v>
      </c>
      <c r="BV19" s="8">
        <f t="shared" si="21"/>
        <v>616301.89057410252</v>
      </c>
      <c r="BW19" s="8">
        <f t="shared" si="22"/>
        <v>651547.18011438253</v>
      </c>
      <c r="BX19" s="8">
        <f t="shared" si="23"/>
        <v>686856.37321195495</v>
      </c>
      <c r="BY19" s="8">
        <f t="shared" si="24"/>
        <v>741639.80766671011</v>
      </c>
      <c r="BZ19" s="8">
        <f t="shared" si="25"/>
        <v>793426.83032715949</v>
      </c>
      <c r="CA19" s="8">
        <f t="shared" si="26"/>
        <v>856781.17753987759</v>
      </c>
      <c r="CB19" s="8">
        <f t="shared" si="27"/>
        <v>850530.08834354009</v>
      </c>
      <c r="CC19" s="8">
        <f t="shared" si="28"/>
        <v>861535.05338379333</v>
      </c>
      <c r="CD19" s="8">
        <f t="shared" si="29"/>
        <v>828645.25748249074</v>
      </c>
      <c r="CE19" s="8">
        <f t="shared" si="30"/>
        <v>802534.3550164093</v>
      </c>
      <c r="CF19" s="8">
        <f t="shared" si="31"/>
        <v>840416.51699979359</v>
      </c>
      <c r="CG19" s="8">
        <f t="shared" si="32"/>
        <v>836572.81936857407</v>
      </c>
      <c r="CH19" s="8">
        <f t="shared" si="33"/>
        <v>822810.56732752756</v>
      </c>
      <c r="CI19" s="8">
        <f t="shared" si="34"/>
        <v>770571.99048833631</v>
      </c>
      <c r="CJ19" s="8">
        <f t="shared" si="35"/>
        <v>761029.6282091547</v>
      </c>
      <c r="CK19" s="8">
        <f t="shared" si="36"/>
        <v>739121.84986471967</v>
      </c>
      <c r="CL19" s="8">
        <f t="shared" si="37"/>
        <v>736254.47456916771</v>
      </c>
      <c r="CM19" s="8">
        <f t="shared" si="38"/>
        <v>757602.94720571325</v>
      </c>
      <c r="CN19" s="8">
        <f t="shared" si="39"/>
        <v>731122.38469622203</v>
      </c>
      <c r="CO19" s="9"/>
      <c r="CP19" s="10" t="s">
        <v>152</v>
      </c>
      <c r="CQ19" s="10">
        <v>38</v>
      </c>
      <c r="CR19" s="10">
        <v>2273.5032000000001</v>
      </c>
      <c r="CS19" s="10">
        <v>159539</v>
      </c>
      <c r="CT19" s="10">
        <v>70</v>
      </c>
      <c r="CU19" s="9"/>
      <c r="CV19" s="10" t="s">
        <v>152</v>
      </c>
      <c r="CW19" s="10" t="s">
        <v>153</v>
      </c>
      <c r="CX19" s="10">
        <v>38</v>
      </c>
      <c r="CY19" s="10">
        <v>164324.76065465799</v>
      </c>
      <c r="CZ19" s="10">
        <v>72.278218326087199</v>
      </c>
      <c r="DA19" s="10">
        <v>2273.5032000000001</v>
      </c>
      <c r="DB19" s="9"/>
      <c r="DC19" s="10" t="s">
        <v>152</v>
      </c>
      <c r="DD19" s="10" t="s">
        <v>153</v>
      </c>
      <c r="DE19" s="11">
        <v>290970.80377197202</v>
      </c>
      <c r="DF19" s="10">
        <v>38</v>
      </c>
      <c r="DG19" s="11">
        <v>127.98346317834</v>
      </c>
      <c r="DH19" s="11">
        <v>2273.5031272479</v>
      </c>
      <c r="DI19" s="9"/>
      <c r="DL19" s="8"/>
      <c r="ER19" s="6">
        <f t="shared" si="53"/>
        <v>0</v>
      </c>
      <c r="ES19" s="6">
        <f t="shared" si="40"/>
        <v>0</v>
      </c>
      <c r="ET19" s="6">
        <f t="shared" si="6"/>
        <v>0</v>
      </c>
      <c r="EU19" s="6">
        <f t="shared" si="7"/>
        <v>0</v>
      </c>
      <c r="EV19" s="18"/>
      <c r="GF19" s="18"/>
      <c r="GG19" s="6">
        <f t="shared" si="54"/>
        <v>0</v>
      </c>
      <c r="GH19" s="6">
        <f t="shared" si="55"/>
        <v>0</v>
      </c>
      <c r="GI19" s="6">
        <f t="shared" si="56"/>
        <v>0</v>
      </c>
      <c r="GJ19" s="6">
        <f t="shared" si="57"/>
        <v>0</v>
      </c>
      <c r="GK19" s="6">
        <f t="shared" si="58"/>
        <v>0</v>
      </c>
      <c r="GL19" s="6">
        <f t="shared" si="59"/>
        <v>0</v>
      </c>
      <c r="GM19" s="6">
        <f t="shared" si="59"/>
        <v>0</v>
      </c>
      <c r="GN19" s="6">
        <f t="shared" si="59"/>
        <v>0</v>
      </c>
      <c r="GO19" s="6">
        <f t="shared" si="59"/>
        <v>0</v>
      </c>
      <c r="GP19" s="6">
        <f t="shared" si="60"/>
        <v>0</v>
      </c>
    </row>
    <row r="20" spans="1:198" s="6" customFormat="1" x14ac:dyDescent="0.25">
      <c r="A20" s="6">
        <v>40</v>
      </c>
      <c r="B20" s="6" t="s">
        <v>155</v>
      </c>
      <c r="C20" s="6" t="s">
        <v>156</v>
      </c>
      <c r="D20" s="10"/>
      <c r="E20" s="10"/>
      <c r="F20" s="10"/>
      <c r="G20" s="10"/>
      <c r="H20" s="10"/>
      <c r="I20" s="10"/>
      <c r="J20" s="10"/>
      <c r="K20" s="10"/>
      <c r="L20" s="6" t="s">
        <v>154</v>
      </c>
      <c r="N20" s="6">
        <f>N19</f>
        <v>10</v>
      </c>
      <c r="O20" s="6">
        <f t="shared" si="13"/>
        <v>104.161722332962</v>
      </c>
      <c r="P20" s="6">
        <f t="shared" si="0"/>
        <v>101.3777669011231</v>
      </c>
      <c r="Q20" s="6">
        <f t="shared" si="1"/>
        <v>134.52311718915249</v>
      </c>
      <c r="R20" s="6">
        <f t="shared" si="14"/>
        <v>0.94319909863609053</v>
      </c>
      <c r="S20" s="6">
        <f t="shared" si="15"/>
        <v>0.93799080110449151</v>
      </c>
      <c r="T20" s="6">
        <v>400</v>
      </c>
      <c r="U20" s="6">
        <v>1.1000000000000001</v>
      </c>
      <c r="V20" s="6">
        <f t="shared" si="2"/>
        <v>5</v>
      </c>
      <c r="W20" s="6">
        <f t="shared" si="16"/>
        <v>4</v>
      </c>
      <c r="Y20" s="8">
        <f t="shared" si="17"/>
        <v>785851.60263011116</v>
      </c>
      <c r="Z20" s="8">
        <f t="shared" si="18"/>
        <v>787597.09204261855</v>
      </c>
      <c r="AA20" s="16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>
        <v>725442.378505253</v>
      </c>
      <c r="AP20" s="8">
        <v>701950.16457618505</v>
      </c>
      <c r="AQ20" s="8">
        <v>676681.44348963199</v>
      </c>
      <c r="AR20" s="8">
        <v>665100.77388671902</v>
      </c>
      <c r="AS20" s="8">
        <v>687555.43789443804</v>
      </c>
      <c r="AT20" s="8">
        <v>734501.54339493404</v>
      </c>
      <c r="AU20" s="8">
        <v>784958.82278972003</v>
      </c>
      <c r="AV20" s="8">
        <v>805634.20439380896</v>
      </c>
      <c r="AW20" s="16"/>
      <c r="AX20" s="13">
        <v>3.2888721496165063E-2</v>
      </c>
      <c r="AY20" s="13">
        <v>2.8843039908195367E-2</v>
      </c>
      <c r="AZ20" s="13">
        <v>2.3508826348185297E-2</v>
      </c>
      <c r="BA20" s="13">
        <v>1.727558717854083E-2</v>
      </c>
      <c r="BB20" s="13">
        <v>9.7904355801925469E-3</v>
      </c>
      <c r="BC20" s="13">
        <v>1.8178580442596015E-3</v>
      </c>
      <c r="BD20" s="13">
        <v>-3.3449229627590116E-3</v>
      </c>
      <c r="BE20" s="13">
        <v>-1.1079319634054174E-3</v>
      </c>
      <c r="BF20" s="13">
        <v>4.8934098997499564E-3</v>
      </c>
      <c r="BG20" s="13">
        <v>1.5235248091937992E-2</v>
      </c>
      <c r="BH20" s="13">
        <v>1.6126764918219072E-2</v>
      </c>
      <c r="BI20" s="13">
        <v>2.1540722483505803E-2</v>
      </c>
      <c r="BJ20" s="13">
        <v>2.7613026747848268E-2</v>
      </c>
      <c r="BK20" s="13">
        <v>2.6978579088403398E-2</v>
      </c>
      <c r="BL20" s="13">
        <v>2.5079662791946955E-2</v>
      </c>
      <c r="BM20" s="13">
        <v>2.5870185947085789E-2</v>
      </c>
      <c r="BN20" s="13">
        <v>2.6893536703573639E-2</v>
      </c>
      <c r="BO20" s="13">
        <v>2.3026535336124088E-2</v>
      </c>
      <c r="BP20" s="13">
        <v>1.6693942729572031E-2</v>
      </c>
      <c r="BQ20" s="13">
        <v>2.2786008601595631E-2</v>
      </c>
      <c r="BR20" s="13">
        <v>0</v>
      </c>
      <c r="BS20" s="16"/>
      <c r="BT20" s="8" t="str">
        <f t="shared" si="19"/>
        <v>NaN</v>
      </c>
      <c r="BU20" s="8" t="str">
        <f t="shared" si="20"/>
        <v>NaN</v>
      </c>
      <c r="BV20" s="8" t="str">
        <f t="shared" si="21"/>
        <v>NaN</v>
      </c>
      <c r="BW20" s="8" t="str">
        <f t="shared" si="22"/>
        <v>NaN</v>
      </c>
      <c r="BX20" s="8" t="str">
        <f t="shared" si="23"/>
        <v>NaN</v>
      </c>
      <c r="BY20" s="8" t="str">
        <f t="shared" si="24"/>
        <v>NaN</v>
      </c>
      <c r="BZ20" s="8" t="str">
        <f t="shared" si="25"/>
        <v>NaN</v>
      </c>
      <c r="CA20" s="8" t="str">
        <f t="shared" si="26"/>
        <v>NaN</v>
      </c>
      <c r="CB20" s="8" t="str">
        <f t="shared" si="27"/>
        <v>NaN</v>
      </c>
      <c r="CC20" s="8" t="str">
        <f t="shared" si="28"/>
        <v>NaN</v>
      </c>
      <c r="CD20" s="8" t="str">
        <f t="shared" si="29"/>
        <v>NaN</v>
      </c>
      <c r="CE20" s="8" t="str">
        <f t="shared" si="30"/>
        <v>NaN</v>
      </c>
      <c r="CF20" s="8" t="str">
        <f t="shared" si="31"/>
        <v>NaN</v>
      </c>
      <c r="CG20" s="8">
        <f t="shared" si="32"/>
        <v>874042.63581009477</v>
      </c>
      <c r="CH20" s="8">
        <f t="shared" si="33"/>
        <v>814426.66493623808</v>
      </c>
      <c r="CI20" s="8">
        <f t="shared" si="34"/>
        <v>768858.30398251733</v>
      </c>
      <c r="CJ20" s="8">
        <f t="shared" si="35"/>
        <v>739586.77177900879</v>
      </c>
      <c r="CK20" s="8">
        <f t="shared" si="36"/>
        <v>736153.56080290757</v>
      </c>
      <c r="CL20" s="8">
        <f t="shared" si="37"/>
        <v>759229.69335866778</v>
      </c>
      <c r="CM20" s="8">
        <f t="shared" si="38"/>
        <v>802844.90127770498</v>
      </c>
      <c r="CN20" s="8">
        <f t="shared" si="39"/>
        <v>805634.20439380896</v>
      </c>
      <c r="CO20" s="9"/>
      <c r="CP20" s="10" t="s">
        <v>157</v>
      </c>
      <c r="CQ20" s="10">
        <v>40</v>
      </c>
      <c r="CR20" s="10">
        <v>3211.0680000000002</v>
      </c>
      <c r="CS20" s="10">
        <v>167606</v>
      </c>
      <c r="CT20" s="10">
        <v>52</v>
      </c>
      <c r="CU20" s="9"/>
      <c r="CV20" s="10" t="s">
        <v>157</v>
      </c>
      <c r="CW20" s="10" t="s">
        <v>156</v>
      </c>
      <c r="CX20" s="10">
        <v>40</v>
      </c>
      <c r="CY20" s="10">
        <v>175915.006200604</v>
      </c>
      <c r="CZ20" s="10">
        <v>54.783955431838898</v>
      </c>
      <c r="DA20" s="10">
        <v>3211.0680000000002</v>
      </c>
      <c r="DB20" s="9"/>
      <c r="DC20" s="10" t="s">
        <v>155</v>
      </c>
      <c r="DD20" s="10" t="s">
        <v>156</v>
      </c>
      <c r="DE20" s="11">
        <v>501445.89336199302</v>
      </c>
      <c r="DF20" s="10">
        <v>40</v>
      </c>
      <c r="DG20" s="11">
        <v>156.161722332962</v>
      </c>
      <c r="DH20" s="11">
        <v>3211.0678972458199</v>
      </c>
      <c r="DI20" s="9"/>
      <c r="DK20" s="6">
        <v>506139</v>
      </c>
      <c r="DL20" s="8"/>
      <c r="DU20" s="6">
        <v>891000</v>
      </c>
      <c r="EA20" s="6">
        <v>450000</v>
      </c>
      <c r="EG20" s="8">
        <f>1900000*DH20/SUM($DH$20:$DH$21)</f>
        <v>530800.84858127777</v>
      </c>
      <c r="EH20" s="8">
        <f>1600000*DH20/SUM(DH$20:DH$21)</f>
        <v>446990.18827897072</v>
      </c>
      <c r="ER20" s="6">
        <f t="shared" si="53"/>
        <v>2824930.0368602485</v>
      </c>
      <c r="ES20" s="6">
        <f t="shared" si="40"/>
        <v>2159814.3843316874</v>
      </c>
      <c r="ET20" s="6">
        <f t="shared" si="6"/>
        <v>5.410780827112343E-2</v>
      </c>
      <c r="EU20" s="6">
        <f t="shared" si="7"/>
        <v>672.6156074694627</v>
      </c>
      <c r="EV20" s="18"/>
      <c r="EX20" s="6">
        <v>6026820</v>
      </c>
      <c r="FH20" s="6">
        <v>6026820</v>
      </c>
      <c r="FO20" s="6">
        <v>4200000</v>
      </c>
      <c r="FU20" s="6">
        <f>57000000*DH20/SUM($DH$20:$DH$21)</f>
        <v>15924025.457438331</v>
      </c>
      <c r="FV20" s="8">
        <f>15800000*DH20/SUM($DH$20:$DH$21)</f>
        <v>4414028.1092548352</v>
      </c>
      <c r="FW20" s="8"/>
      <c r="FX20" s="8"/>
      <c r="FY20" s="8"/>
      <c r="FZ20" s="8"/>
      <c r="GA20" s="8"/>
      <c r="GB20" s="8"/>
      <c r="GC20" s="8"/>
      <c r="GD20" s="8"/>
      <c r="GE20" s="8"/>
      <c r="GF20" s="18"/>
      <c r="GG20" s="6">
        <f t="shared" si="54"/>
        <v>0</v>
      </c>
      <c r="GH20" s="6">
        <f t="shared" si="55"/>
        <v>15924025.457438331</v>
      </c>
      <c r="GI20" s="6">
        <f t="shared" si="56"/>
        <v>4414028.1092548352</v>
      </c>
      <c r="GJ20" s="6">
        <f t="shared" si="57"/>
        <v>0</v>
      </c>
      <c r="GK20" s="6">
        <f t="shared" si="58"/>
        <v>0</v>
      </c>
      <c r="GL20" s="6">
        <f t="shared" si="59"/>
        <v>0</v>
      </c>
      <c r="GM20" s="6">
        <f t="shared" si="59"/>
        <v>0</v>
      </c>
      <c r="GN20" s="6">
        <f t="shared" si="59"/>
        <v>0</v>
      </c>
      <c r="GO20" s="6">
        <f t="shared" si="59"/>
        <v>0</v>
      </c>
      <c r="GP20" s="6">
        <f t="shared" si="60"/>
        <v>36591693.566693164</v>
      </c>
    </row>
    <row r="21" spans="1:198" x14ac:dyDescent="0.25">
      <c r="A21" s="6">
        <v>41</v>
      </c>
      <c r="B21" s="10" t="s">
        <v>158</v>
      </c>
      <c r="C21" s="10" t="s">
        <v>159</v>
      </c>
      <c r="D21" s="10" t="str">
        <f t="shared" si="48"/>
        <v>SIC/SM</v>
      </c>
      <c r="E21" s="10">
        <f>IF(Z21&gt;Z20,Z21-Z20,Z20-Z21)</f>
        <v>10741.7185743273</v>
      </c>
      <c r="F21" s="10">
        <f>IF(Z21&gt;Z20,EU21-EU20,EU20-EU21)</f>
        <v>-249.52405954801765</v>
      </c>
      <c r="G21" s="10">
        <f>IF(Z21&gt;Z20,DG21-DG20,DG20-DG21)</f>
        <v>-40.250699212200004</v>
      </c>
      <c r="H21" s="10">
        <f>IF(Z21&gt;Z20,CZ21-CZ20,CZ20-CZ21)</f>
        <v>-2.3335274313638976</v>
      </c>
      <c r="I21" s="10">
        <f>IF(Z21&gt;Z20,S21-S20,S20-S21)</f>
        <v>1.8350691868435409E-2</v>
      </c>
      <c r="J21" s="10">
        <f>IF(Z21&gt;Z20,R21-R20,R20-R21)</f>
        <v>5.8179248540326522E-3</v>
      </c>
      <c r="K21" s="10">
        <f>IF(Z21&gt;Z20,P21-P20,P20-P21)</f>
        <v>-37.9171717808361</v>
      </c>
      <c r="L21" s="10" t="s">
        <v>154</v>
      </c>
      <c r="N21" s="10">
        <f t="shared" si="52"/>
        <v>10</v>
      </c>
      <c r="O21" s="10">
        <f t="shared" si="13"/>
        <v>59.911023120761996</v>
      </c>
      <c r="P21" s="10">
        <f t="shared" si="0"/>
        <v>63.460595120286996</v>
      </c>
      <c r="Q21" s="10">
        <f t="shared" si="1"/>
        <v>84.618306876503098</v>
      </c>
      <c r="R21" s="10">
        <f t="shared" si="14"/>
        <v>0.94901702349012318</v>
      </c>
      <c r="S21" s="6">
        <f t="shared" si="15"/>
        <v>0.95634149297292692</v>
      </c>
      <c r="T21" s="6">
        <v>400</v>
      </c>
      <c r="U21" s="6">
        <v>1.1000000000000001</v>
      </c>
      <c r="V21" s="10">
        <f t="shared" si="2"/>
        <v>6</v>
      </c>
      <c r="W21" s="10">
        <f t="shared" si="16"/>
        <v>3.3333333333333335</v>
      </c>
      <c r="Y21" s="11">
        <f t="shared" si="17"/>
        <v>779106.04401999596</v>
      </c>
      <c r="Z21" s="11">
        <f t="shared" si="18"/>
        <v>798338.81061694585</v>
      </c>
      <c r="AB21" s="11">
        <v>371820.81761808199</v>
      </c>
      <c r="AC21" s="11">
        <v>447580.48196003598</v>
      </c>
      <c r="AD21" s="11">
        <v>499788.811862715</v>
      </c>
      <c r="AE21" s="11">
        <v>586782.78764768504</v>
      </c>
      <c r="AF21" s="11">
        <v>722992.841457912</v>
      </c>
      <c r="AG21" s="11">
        <v>890657.74017878994</v>
      </c>
      <c r="AH21" s="11">
        <v>973098.50356149697</v>
      </c>
      <c r="AI21" s="11">
        <v>878036.35153049196</v>
      </c>
      <c r="AJ21" s="11">
        <v>905118.40489434602</v>
      </c>
      <c r="AK21" s="11">
        <v>829248.00064601598</v>
      </c>
      <c r="AL21" s="11">
        <v>678675.56973743194</v>
      </c>
      <c r="AM21" s="11">
        <v>489317.80724702397</v>
      </c>
      <c r="AN21" s="11">
        <v>552475.82520556997</v>
      </c>
      <c r="AO21" s="11">
        <v>610958.97568709496</v>
      </c>
      <c r="AP21" s="11">
        <v>647102.83889560401</v>
      </c>
      <c r="AQ21" s="11">
        <v>646936.31761749496</v>
      </c>
      <c r="AR21" s="11">
        <v>676812.22506463795</v>
      </c>
      <c r="AS21" s="11">
        <v>721707.42196937394</v>
      </c>
      <c r="AT21" s="11">
        <v>753730.52029811696</v>
      </c>
      <c r="AU21" s="11">
        <v>784846.87783850601</v>
      </c>
      <c r="AV21" s="11">
        <v>843637.45484198001</v>
      </c>
      <c r="AX21" s="14">
        <v>3.2888721496165063E-2</v>
      </c>
      <c r="AY21" s="14">
        <v>2.8843039908195367E-2</v>
      </c>
      <c r="AZ21" s="14">
        <v>2.3508826348185297E-2</v>
      </c>
      <c r="BA21" s="14">
        <v>1.727558717854083E-2</v>
      </c>
      <c r="BB21" s="14">
        <v>9.7904355801925469E-3</v>
      </c>
      <c r="BC21" s="14">
        <v>1.8178580442596015E-3</v>
      </c>
      <c r="BD21" s="14">
        <v>-3.3449229627590116E-3</v>
      </c>
      <c r="BE21" s="14">
        <v>-1.1079319634054174E-3</v>
      </c>
      <c r="BF21" s="14">
        <v>4.8934098997499564E-3</v>
      </c>
      <c r="BG21" s="14">
        <v>1.5235248091937992E-2</v>
      </c>
      <c r="BH21" s="14">
        <v>1.6126764918219072E-2</v>
      </c>
      <c r="BI21" s="14">
        <v>2.1540722483505803E-2</v>
      </c>
      <c r="BJ21" s="14">
        <v>2.7613026747848268E-2</v>
      </c>
      <c r="BK21" s="14">
        <v>2.6978579088403398E-2</v>
      </c>
      <c r="BL21" s="14">
        <v>2.5079662791946955E-2</v>
      </c>
      <c r="BM21" s="14">
        <v>2.5870185947085789E-2</v>
      </c>
      <c r="BN21" s="14">
        <v>2.6893536703573639E-2</v>
      </c>
      <c r="BO21" s="14">
        <v>2.3026535336124088E-2</v>
      </c>
      <c r="BP21" s="14">
        <v>1.6693942729572031E-2</v>
      </c>
      <c r="BQ21" s="14">
        <v>2.2786008601595631E-2</v>
      </c>
      <c r="BR21" s="14">
        <v>0</v>
      </c>
      <c r="BT21" s="11">
        <f t="shared" si="19"/>
        <v>710238.81978751079</v>
      </c>
      <c r="BU21" s="11">
        <f t="shared" si="20"/>
        <v>768253.40604212997</v>
      </c>
      <c r="BV21" s="11">
        <f t="shared" si="21"/>
        <v>759338.09702966106</v>
      </c>
      <c r="BW21" s="11">
        <f t="shared" si="22"/>
        <v>785116.21233718854</v>
      </c>
      <c r="BX21" s="11">
        <f t="shared" si="23"/>
        <v>844955.90092413942</v>
      </c>
      <c r="BY21" s="11">
        <f t="shared" si="24"/>
        <v>915255.57186129328</v>
      </c>
      <c r="BZ21" s="11">
        <f t="shared" si="25"/>
        <v>928506.97964855842</v>
      </c>
      <c r="CA21" s="11">
        <f t="shared" si="26"/>
        <v>865473.62044459081</v>
      </c>
      <c r="CB21" s="11">
        <f t="shared" si="27"/>
        <v>959721.83023360872</v>
      </c>
      <c r="CC21" s="11">
        <f t="shared" si="28"/>
        <v>979305.05789875356</v>
      </c>
      <c r="CD21" s="11">
        <f t="shared" si="29"/>
        <v>796418.10646822723</v>
      </c>
      <c r="CE21" s="11">
        <f t="shared" si="30"/>
        <v>592778.13538500236</v>
      </c>
      <c r="CF21" s="11">
        <f t="shared" si="31"/>
        <v>686989.48159173864</v>
      </c>
      <c r="CG21" s="11">
        <f t="shared" si="32"/>
        <v>736108.35168146621</v>
      </c>
      <c r="CH21" s="11">
        <f t="shared" si="33"/>
        <v>750790.91586325783</v>
      </c>
      <c r="CI21" s="11">
        <f t="shared" si="34"/>
        <v>735061.32720736193</v>
      </c>
      <c r="CJ21" s="11">
        <f t="shared" si="35"/>
        <v>752609.8123611263</v>
      </c>
      <c r="CK21" s="11">
        <f t="shared" si="36"/>
        <v>772719.49178040097</v>
      </c>
      <c r="CL21" s="11">
        <f t="shared" si="37"/>
        <v>779106.04401999596</v>
      </c>
      <c r="CM21" s="11">
        <f t="shared" si="38"/>
        <v>802730.40554786974</v>
      </c>
      <c r="CN21" s="11">
        <f t="shared" si="39"/>
        <v>843637.45484198001</v>
      </c>
      <c r="CP21" s="10" t="s">
        <v>158</v>
      </c>
      <c r="CQ21" s="10">
        <v>41</v>
      </c>
      <c r="CR21" s="10">
        <v>8282.94</v>
      </c>
      <c r="CS21" s="10">
        <v>467048</v>
      </c>
      <c r="CT21" s="10">
        <v>56</v>
      </c>
      <c r="CV21" s="10" t="s">
        <v>158</v>
      </c>
      <c r="CW21" s="10" t="s">
        <v>160</v>
      </c>
      <c r="CX21" s="10">
        <v>41</v>
      </c>
      <c r="CY21" s="10">
        <v>434443.74810225499</v>
      </c>
      <c r="CZ21" s="10">
        <v>52.450428000475</v>
      </c>
      <c r="DA21" s="10">
        <v>8282.94</v>
      </c>
      <c r="DC21" s="10" t="s">
        <v>158</v>
      </c>
      <c r="DD21" s="10" t="s">
        <v>160</v>
      </c>
      <c r="DE21" s="11">
        <v>960084.01912519697</v>
      </c>
      <c r="DF21" s="10">
        <v>41</v>
      </c>
      <c r="DG21" s="11">
        <v>115.911023120762</v>
      </c>
      <c r="DH21" s="11">
        <v>8282.9397349459196</v>
      </c>
      <c r="DL21" s="11"/>
      <c r="DU21" s="10">
        <v>216630</v>
      </c>
      <c r="DX21" s="10">
        <v>700000</v>
      </c>
      <c r="EA21" s="10">
        <v>394797</v>
      </c>
      <c r="EG21" s="11">
        <f>1900000*DH21/SUM($DH$20:$DH$21)</f>
        <v>1369199.1514187222</v>
      </c>
      <c r="EH21" s="11">
        <f>1600000*DH21/SUM(DH$20:DH$21)</f>
        <v>1153009.8117210292</v>
      </c>
      <c r="EN21" s="10">
        <v>750000</v>
      </c>
      <c r="ER21" s="10">
        <f t="shared" si="53"/>
        <v>4583635.9631397519</v>
      </c>
      <c r="ES21" s="10">
        <f t="shared" si="40"/>
        <v>3504441.793798313</v>
      </c>
      <c r="ET21" s="10">
        <f t="shared" si="6"/>
        <v>8.7793500243227837E-2</v>
      </c>
      <c r="EU21" s="10">
        <f t="shared" si="7"/>
        <v>423.09154792144506</v>
      </c>
      <c r="FI21" s="10">
        <v>1987684</v>
      </c>
      <c r="FK21" s="10">
        <v>6000000</v>
      </c>
      <c r="FO21" s="10">
        <v>5000000</v>
      </c>
      <c r="FU21" s="10">
        <f>57000000*DH21/SUM($DH$20:$DH$21)</f>
        <v>41075974.542561665</v>
      </c>
      <c r="FV21" s="11">
        <f>15800000*DH21/SUM($DH$20:$DH$21)</f>
        <v>11385971.890745163</v>
      </c>
      <c r="FW21" s="11"/>
      <c r="FX21" s="11"/>
      <c r="FY21" s="11"/>
      <c r="FZ21" s="11"/>
      <c r="GA21" s="11"/>
      <c r="GB21" s="11">
        <v>32500000</v>
      </c>
      <c r="GC21" s="11"/>
      <c r="GD21" s="11"/>
      <c r="GE21" s="11"/>
      <c r="GG21" s="10">
        <f t="shared" si="54"/>
        <v>0</v>
      </c>
      <c r="GH21" s="10">
        <f t="shared" si="55"/>
        <v>41075974.542561665</v>
      </c>
      <c r="GI21" s="10">
        <f t="shared" si="56"/>
        <v>11385971.890745163</v>
      </c>
      <c r="GJ21" s="10">
        <f t="shared" si="57"/>
        <v>0</v>
      </c>
      <c r="GK21" s="10">
        <f t="shared" si="58"/>
        <v>0</v>
      </c>
      <c r="GL21" s="10">
        <f t="shared" si="59"/>
        <v>0</v>
      </c>
      <c r="GM21" s="10">
        <f t="shared" si="59"/>
        <v>32500000</v>
      </c>
      <c r="GN21" s="10">
        <f t="shared" si="59"/>
        <v>0</v>
      </c>
      <c r="GO21" s="10">
        <f t="shared" si="59"/>
        <v>0</v>
      </c>
      <c r="GP21" s="10">
        <f t="shared" si="60"/>
        <v>97949630.433306828</v>
      </c>
    </row>
    <row r="22" spans="1:198" s="6" customFormat="1" x14ac:dyDescent="0.25">
      <c r="A22" s="6">
        <v>42</v>
      </c>
      <c r="B22" s="6" t="s">
        <v>161</v>
      </c>
      <c r="C22" s="6" t="s">
        <v>162</v>
      </c>
      <c r="D22" s="10"/>
      <c r="E22" s="10"/>
      <c r="F22" s="10"/>
      <c r="G22" s="10"/>
      <c r="H22" s="10"/>
      <c r="I22" s="10"/>
      <c r="J22" s="10"/>
      <c r="K22" s="10"/>
      <c r="L22" s="6" t="s">
        <v>154</v>
      </c>
      <c r="N22" s="6">
        <f t="shared" si="52"/>
        <v>10</v>
      </c>
      <c r="O22" s="6">
        <f t="shared" si="13"/>
        <v>77.594775257603999</v>
      </c>
      <c r="P22" s="6">
        <f t="shared" si="0"/>
        <v>75.432699492430004</v>
      </c>
      <c r="Q22" s="6">
        <f t="shared" si="1"/>
        <v>93.050405831007211</v>
      </c>
      <c r="R22" s="6">
        <f t="shared" si="14"/>
        <v>0.9686530415742105</v>
      </c>
      <c r="S22" s="6">
        <f t="shared" si="15"/>
        <v>0.96426794070094402</v>
      </c>
      <c r="T22" s="6">
        <v>400</v>
      </c>
      <c r="U22" s="6">
        <v>1.1000000000000001</v>
      </c>
      <c r="V22" s="6">
        <f t="shared" si="2"/>
        <v>8</v>
      </c>
      <c r="W22" s="6">
        <f t="shared" si="16"/>
        <v>2.5</v>
      </c>
      <c r="Y22" s="8">
        <f t="shared" si="17"/>
        <v>1160366.9735998199</v>
      </c>
      <c r="Z22" s="8">
        <f t="shared" si="18"/>
        <v>1157016.9365578499</v>
      </c>
      <c r="AA22" s="16"/>
      <c r="AB22" s="8">
        <v>442286.88064173801</v>
      </c>
      <c r="AC22" s="8">
        <v>549623.38775585196</v>
      </c>
      <c r="AD22" s="8">
        <v>597858.91443490796</v>
      </c>
      <c r="AE22" s="8">
        <v>705873.32304435899</v>
      </c>
      <c r="AF22" s="8">
        <v>843726.43764353998</v>
      </c>
      <c r="AG22" s="8">
        <v>1059153.51313446</v>
      </c>
      <c r="AH22" s="8">
        <v>1216093.5677829301</v>
      </c>
      <c r="AI22" s="8">
        <v>1184779.77933695</v>
      </c>
      <c r="AJ22" s="8">
        <v>1057291.8642659199</v>
      </c>
      <c r="AK22" s="8">
        <v>939113.15458728501</v>
      </c>
      <c r="AL22" s="8">
        <v>883714.87195742899</v>
      </c>
      <c r="AM22" s="8">
        <v>675977.44690764602</v>
      </c>
      <c r="AN22" s="8">
        <v>976194.29508177203</v>
      </c>
      <c r="AO22" s="8">
        <v>1049754.0673076101</v>
      </c>
      <c r="AP22" s="8">
        <v>1111759.47061461</v>
      </c>
      <c r="AQ22" s="8">
        <v>1130443.8112011701</v>
      </c>
      <c r="AR22" s="8">
        <v>1182623.79502231</v>
      </c>
      <c r="AS22" s="8">
        <v>1258012.7564636699</v>
      </c>
      <c r="AT22" s="8">
        <v>1319270.78039079</v>
      </c>
      <c r="AU22" s="8">
        <v>1473264.5883772101</v>
      </c>
      <c r="AV22" s="8">
        <v>1582081.8322920001</v>
      </c>
      <c r="AW22" s="16"/>
      <c r="AX22" s="13">
        <v>3.2888721496165063E-2</v>
      </c>
      <c r="AY22" s="13">
        <v>2.8843039908195367E-2</v>
      </c>
      <c r="AZ22" s="13">
        <v>2.3508826348185297E-2</v>
      </c>
      <c r="BA22" s="13">
        <v>1.727558717854083E-2</v>
      </c>
      <c r="BB22" s="13">
        <v>9.7904355801925469E-3</v>
      </c>
      <c r="BC22" s="13">
        <v>1.8178580442596015E-3</v>
      </c>
      <c r="BD22" s="13">
        <v>-3.3449229627590116E-3</v>
      </c>
      <c r="BE22" s="13">
        <v>-1.1079319634054174E-3</v>
      </c>
      <c r="BF22" s="13">
        <v>4.8934098997499564E-3</v>
      </c>
      <c r="BG22" s="13">
        <v>1.5235248091937992E-2</v>
      </c>
      <c r="BH22" s="13">
        <v>1.6126764918219072E-2</v>
      </c>
      <c r="BI22" s="13">
        <v>2.1540722483505803E-2</v>
      </c>
      <c r="BJ22" s="13">
        <v>2.7613026747848268E-2</v>
      </c>
      <c r="BK22" s="13">
        <v>2.6978579088403398E-2</v>
      </c>
      <c r="BL22" s="13">
        <v>2.5079662791946955E-2</v>
      </c>
      <c r="BM22" s="13">
        <v>2.5870185947085789E-2</v>
      </c>
      <c r="BN22" s="13">
        <v>2.6893536703573639E-2</v>
      </c>
      <c r="BO22" s="13">
        <v>2.3026535336124088E-2</v>
      </c>
      <c r="BP22" s="13">
        <v>1.6693942729572031E-2</v>
      </c>
      <c r="BQ22" s="13">
        <v>2.2786008601595631E-2</v>
      </c>
      <c r="BR22" s="13">
        <v>0</v>
      </c>
      <c r="BS22" s="16"/>
      <c r="BT22" s="8">
        <f t="shared" si="19"/>
        <v>844840.57166790345</v>
      </c>
      <c r="BU22" s="8">
        <f t="shared" si="20"/>
        <v>943405.83806232607</v>
      </c>
      <c r="BV22" s="8">
        <f t="shared" si="21"/>
        <v>908337.76107801928</v>
      </c>
      <c r="BW22" s="8">
        <f t="shared" si="22"/>
        <v>944459.51968038816</v>
      </c>
      <c r="BX22" s="8">
        <f t="shared" si="23"/>
        <v>986056.28074412013</v>
      </c>
      <c r="BY22" s="8">
        <f t="shared" si="24"/>
        <v>1088404.7941448104</v>
      </c>
      <c r="BZ22" s="8">
        <f t="shared" si="25"/>
        <v>1160366.9735998199</v>
      </c>
      <c r="CA22" s="8">
        <f t="shared" si="26"/>
        <v>1167828.2377089988</v>
      </c>
      <c r="CB22" s="8">
        <f t="shared" si="27"/>
        <v>1121075.5162832413</v>
      </c>
      <c r="CC22" s="8">
        <f t="shared" si="28"/>
        <v>1109050.9250671905</v>
      </c>
      <c r="CD22" s="8">
        <f t="shared" si="29"/>
        <v>1037029.4089920435</v>
      </c>
      <c r="CE22" s="8">
        <f t="shared" si="30"/>
        <v>818904.69671368366</v>
      </c>
      <c r="CF22" s="8">
        <f t="shared" si="31"/>
        <v>1213872.5028583894</v>
      </c>
      <c r="CG22" s="8">
        <f t="shared" si="32"/>
        <v>1264786.6172809578</v>
      </c>
      <c r="CH22" s="8">
        <f t="shared" si="33"/>
        <v>1289901.4824088174</v>
      </c>
      <c r="CI22" s="8">
        <f t="shared" si="34"/>
        <v>1284431.721587444</v>
      </c>
      <c r="CJ22" s="8">
        <f t="shared" si="35"/>
        <v>1315068.2560152346</v>
      </c>
      <c r="CK22" s="8">
        <f t="shared" si="36"/>
        <v>1346932.2169020448</v>
      </c>
      <c r="CL22" s="8">
        <f t="shared" si="37"/>
        <v>1363686.1066670131</v>
      </c>
      <c r="CM22" s="8">
        <f t="shared" si="38"/>
        <v>1506834.4079603995</v>
      </c>
      <c r="CN22" s="8">
        <f t="shared" si="39"/>
        <v>1582081.8322920001</v>
      </c>
      <c r="CO22" s="9"/>
      <c r="CP22" s="10" t="s">
        <v>161</v>
      </c>
      <c r="CQ22" s="10">
        <v>42</v>
      </c>
      <c r="CR22" s="10">
        <v>6274.0032000000001</v>
      </c>
      <c r="CS22" s="10">
        <v>980487</v>
      </c>
      <c r="CT22" s="10">
        <v>156</v>
      </c>
      <c r="CU22" s="9"/>
      <c r="CV22" s="10" t="s">
        <v>161</v>
      </c>
      <c r="CW22" s="10" t="s">
        <v>163</v>
      </c>
      <c r="CX22" s="10">
        <v>42</v>
      </c>
      <c r="CY22" s="10">
        <v>992309.36946934997</v>
      </c>
      <c r="CZ22" s="10">
        <v>158.162075765174</v>
      </c>
      <c r="DA22" s="10">
        <v>6274.0032000000001</v>
      </c>
      <c r="DB22" s="9"/>
      <c r="DC22" s="10" t="s">
        <v>161</v>
      </c>
      <c r="DD22" s="10" t="s">
        <v>163</v>
      </c>
      <c r="DE22" s="11">
        <v>1465574.3205711099</v>
      </c>
      <c r="DF22" s="10">
        <v>42</v>
      </c>
      <c r="DG22" s="11">
        <v>233.594775257604</v>
      </c>
      <c r="DH22" s="11">
        <v>6274.0029992318996</v>
      </c>
      <c r="DI22" s="9"/>
      <c r="DL22" s="8"/>
      <c r="DM22" s="6">
        <v>1300000</v>
      </c>
      <c r="DP22" s="6">
        <v>57000</v>
      </c>
      <c r="DT22" s="6">
        <v>225000</v>
      </c>
      <c r="DX22" s="6">
        <v>500000</v>
      </c>
      <c r="DY22" s="6">
        <v>450000</v>
      </c>
      <c r="EB22" s="6">
        <v>75000</v>
      </c>
      <c r="EC22" s="6">
        <v>46359</v>
      </c>
      <c r="EG22" s="8"/>
      <c r="EJ22" s="8">
        <f>1860467*DH22/SUM($DH$22:$DH$23)</f>
        <v>1164538.6263646039</v>
      </c>
      <c r="EQ22" s="8">
        <f>1307519*DH22/(SUM($DH$22:$DH$23))</f>
        <v>818426.97570320801</v>
      </c>
      <c r="ER22" s="6">
        <f t="shared" si="53"/>
        <v>3817897.6263646036</v>
      </c>
      <c r="ES22" s="6">
        <f t="shared" si="40"/>
        <v>2918992.7197251893</v>
      </c>
      <c r="ET22" s="6">
        <f t="shared" si="6"/>
        <v>7.3126792547299035E-2</v>
      </c>
      <c r="EU22" s="6">
        <f t="shared" si="7"/>
        <v>465.25204404310125</v>
      </c>
      <c r="EV22" s="18"/>
      <c r="FK22" s="6">
        <v>4500000</v>
      </c>
      <c r="FL22" s="6">
        <v>9338000</v>
      </c>
      <c r="FP22" s="6">
        <v>2150543</v>
      </c>
      <c r="FQ22" s="6">
        <v>418984</v>
      </c>
      <c r="GE22" s="6">
        <f>28000000*DH22/(SUM($DH$22:$DH$23))</f>
        <v>17526288.581420098</v>
      </c>
      <c r="GF22" s="18"/>
      <c r="GG22" s="6">
        <f t="shared" si="54"/>
        <v>0</v>
      </c>
      <c r="GH22" s="6">
        <f t="shared" si="55"/>
        <v>0</v>
      </c>
      <c r="GI22" s="6">
        <f t="shared" si="56"/>
        <v>0</v>
      </c>
      <c r="GJ22" s="6">
        <f t="shared" si="57"/>
        <v>0</v>
      </c>
      <c r="GK22" s="6">
        <f t="shared" si="58"/>
        <v>0</v>
      </c>
      <c r="GL22" s="6">
        <f t="shared" si="59"/>
        <v>0</v>
      </c>
      <c r="GM22" s="6">
        <f t="shared" si="59"/>
        <v>0</v>
      </c>
      <c r="GN22" s="6">
        <f t="shared" si="59"/>
        <v>0</v>
      </c>
      <c r="GO22" s="6">
        <f t="shared" si="59"/>
        <v>0</v>
      </c>
      <c r="GP22" s="6">
        <f t="shared" si="60"/>
        <v>16407527</v>
      </c>
    </row>
    <row r="23" spans="1:198" x14ac:dyDescent="0.25">
      <c r="A23" s="6">
        <v>43</v>
      </c>
      <c r="B23" s="10" t="s">
        <v>164</v>
      </c>
      <c r="C23" s="10" t="s">
        <v>144</v>
      </c>
      <c r="D23" s="10" t="str">
        <f t="shared" si="48"/>
        <v>SH/AVL</v>
      </c>
      <c r="E23" s="10">
        <f>IF(Z23&gt;Z22,Z23-Z22,Z22-Z23)</f>
        <v>139506.79742445261</v>
      </c>
      <c r="F23" s="10">
        <f>IF(Z23&gt;Z22,EU23-EU22,EU22-EU23)</f>
        <v>-663.39215408144764</v>
      </c>
      <c r="G23" s="10">
        <f>IF(Z23&gt;Z22,DG23-DG22,DG22-DG23)</f>
        <v>136.99616131196581</v>
      </c>
      <c r="H23" s="10">
        <f>IF(Z23&gt;Z22,CZ23-CZ22,CZ22-CZ23)</f>
        <v>104.33886670121649</v>
      </c>
      <c r="I23" s="10">
        <f>IF(Z23&gt;Z22,S23-S22,S22-S23)</f>
        <v>0.25665246582777823</v>
      </c>
      <c r="J23" s="10">
        <f>IF(Z23&gt;Z22,R23-R22,R22-R23)</f>
        <v>0.26291823908675827</v>
      </c>
      <c r="K23" s="10">
        <f>IF(Z23&gt;Z22,P23-P22,P22-P23)</f>
        <v>32.657294610749297</v>
      </c>
      <c r="L23" s="10" t="s">
        <v>154</v>
      </c>
      <c r="N23" s="10">
        <f t="shared" si="52"/>
        <v>10</v>
      </c>
      <c r="O23" s="10">
        <f t="shared" si="13"/>
        <v>41.598613945638206</v>
      </c>
      <c r="P23" s="10">
        <f t="shared" si="0"/>
        <v>42.775404881680707</v>
      </c>
      <c r="Q23" s="10">
        <f t="shared" si="1"/>
        <v>225.72883240158711</v>
      </c>
      <c r="R23" s="10">
        <f t="shared" si="14"/>
        <v>0.70573480248745224</v>
      </c>
      <c r="S23" s="6">
        <f t="shared" si="15"/>
        <v>0.70761547487316578</v>
      </c>
      <c r="T23" s="6">
        <v>400</v>
      </c>
      <c r="U23" s="6">
        <v>1.1000000000000001</v>
      </c>
      <c r="V23" s="10">
        <f t="shared" si="2"/>
        <v>7</v>
      </c>
      <c r="W23" s="10">
        <f t="shared" si="16"/>
        <v>2.8571428571428572</v>
      </c>
      <c r="Y23" s="11">
        <f t="shared" si="17"/>
        <v>1140413.9197669495</v>
      </c>
      <c r="Z23" s="11">
        <f t="shared" si="18"/>
        <v>1017510.1391333973</v>
      </c>
      <c r="AB23" s="11">
        <v>301993.89812952402</v>
      </c>
      <c r="AC23" s="11">
        <v>377287.59061736602</v>
      </c>
      <c r="AD23" s="11">
        <v>428938.11679824302</v>
      </c>
      <c r="AE23" s="11">
        <v>499770.31092033099</v>
      </c>
      <c r="AF23" s="11">
        <v>593028.326970194</v>
      </c>
      <c r="AG23" s="11">
        <v>729472.80529334699</v>
      </c>
      <c r="AH23" s="11">
        <v>856387.18124582095</v>
      </c>
      <c r="AI23" s="11">
        <v>859024.47896435903</v>
      </c>
      <c r="AJ23" s="11">
        <v>955804.25930988404</v>
      </c>
      <c r="AK23" s="11">
        <v>1007504.7747993</v>
      </c>
      <c r="AL23" s="11">
        <v>930671.90700823395</v>
      </c>
      <c r="AM23" s="11">
        <v>941372.16820913402</v>
      </c>
      <c r="AN23" s="11">
        <v>1060848.8662286601</v>
      </c>
      <c r="AO23" s="11">
        <v>1007831.52778797</v>
      </c>
      <c r="AP23" s="11">
        <v>995396.04951299995</v>
      </c>
      <c r="AQ23" s="11">
        <v>1021443.10236439</v>
      </c>
      <c r="AR23" s="11">
        <v>1085755.2122476499</v>
      </c>
      <c r="AS23" s="11">
        <v>1155356.8149285601</v>
      </c>
      <c r="AT23" s="11">
        <v>1199587.95489345</v>
      </c>
      <c r="AU23" s="11">
        <v>1316980.0375475199</v>
      </c>
      <c r="AV23" s="11">
        <v>1400250.0176164401</v>
      </c>
      <c r="AX23" s="14">
        <v>3.2888721496165063E-2</v>
      </c>
      <c r="AY23" s="14">
        <v>2.8843039908195367E-2</v>
      </c>
      <c r="AZ23" s="14">
        <v>2.3508826348185297E-2</v>
      </c>
      <c r="BA23" s="14">
        <v>1.727558717854083E-2</v>
      </c>
      <c r="BB23" s="14">
        <v>9.7904355801925469E-3</v>
      </c>
      <c r="BC23" s="14">
        <v>1.8178580442596015E-3</v>
      </c>
      <c r="BD23" s="14">
        <v>-3.3449229627590116E-3</v>
      </c>
      <c r="BE23" s="14">
        <v>-1.1079319634054174E-3</v>
      </c>
      <c r="BF23" s="14">
        <v>4.8934098997499564E-3</v>
      </c>
      <c r="BG23" s="14">
        <v>1.5235248091937992E-2</v>
      </c>
      <c r="BH23" s="14">
        <v>1.6126764918219072E-2</v>
      </c>
      <c r="BI23" s="14">
        <v>2.1540722483505803E-2</v>
      </c>
      <c r="BJ23" s="14">
        <v>2.7613026747848268E-2</v>
      </c>
      <c r="BK23" s="14">
        <v>2.6978579088403398E-2</v>
      </c>
      <c r="BL23" s="14">
        <v>2.5079662791946955E-2</v>
      </c>
      <c r="BM23" s="14">
        <v>2.5870185947085789E-2</v>
      </c>
      <c r="BN23" s="14">
        <v>2.6893536703573639E-2</v>
      </c>
      <c r="BO23" s="14">
        <v>2.3026535336124088E-2</v>
      </c>
      <c r="BP23" s="14">
        <v>1.6693942729572031E-2</v>
      </c>
      <c r="BQ23" s="14">
        <v>2.2786008601595631E-2</v>
      </c>
      <c r="BR23" s="14">
        <v>0</v>
      </c>
      <c r="BT23" s="11">
        <f t="shared" si="19"/>
        <v>576857.93701539154</v>
      </c>
      <c r="BU23" s="11">
        <f t="shared" si="20"/>
        <v>647598.56211759662</v>
      </c>
      <c r="BV23" s="11">
        <f t="shared" si="21"/>
        <v>651693.36652244243</v>
      </c>
      <c r="BW23" s="11">
        <f t="shared" si="22"/>
        <v>668693.39354913041</v>
      </c>
      <c r="BX23" s="11">
        <f t="shared" si="23"/>
        <v>693067.42135676485</v>
      </c>
      <c r="BY23" s="11">
        <f t="shared" si="24"/>
        <v>749619.09546982637</v>
      </c>
      <c r="BZ23" s="11">
        <f t="shared" si="25"/>
        <v>817143.86792091897</v>
      </c>
      <c r="CA23" s="11">
        <f t="shared" si="26"/>
        <v>846733.7651384169</v>
      </c>
      <c r="CB23" s="11">
        <f t="shared" si="27"/>
        <v>1013465.4296384982</v>
      </c>
      <c r="CC23" s="11">
        <f t="shared" si="28"/>
        <v>1189818.3909390888</v>
      </c>
      <c r="CD23" s="11">
        <f t="shared" si="29"/>
        <v>1092132.9586232651</v>
      </c>
      <c r="CE23" s="11">
        <f t="shared" si="30"/>
        <v>1140413.9197669495</v>
      </c>
      <c r="CF23" s="11">
        <f t="shared" si="31"/>
        <v>1319138.2851664789</v>
      </c>
      <c r="CG23" s="11">
        <f t="shared" si="32"/>
        <v>1214276.6277527767</v>
      </c>
      <c r="CH23" s="11">
        <f t="shared" si="33"/>
        <v>1154892.6488036937</v>
      </c>
      <c r="CI23" s="11">
        <f t="shared" si="34"/>
        <v>1160583.0466526733</v>
      </c>
      <c r="CJ23" s="11">
        <f t="shared" si="35"/>
        <v>1207351.1622544613</v>
      </c>
      <c r="CK23" s="11">
        <f t="shared" si="36"/>
        <v>1237020.2989190053</v>
      </c>
      <c r="CL23" s="11">
        <f t="shared" si="37"/>
        <v>1239973.9705663186</v>
      </c>
      <c r="CM23" s="11">
        <f t="shared" si="38"/>
        <v>1346988.7560112074</v>
      </c>
      <c r="CN23" s="11">
        <f t="shared" si="39"/>
        <v>1400250.0176164401</v>
      </c>
      <c r="CP23" s="10" t="s">
        <v>164</v>
      </c>
      <c r="CQ23" s="10">
        <v>43</v>
      </c>
      <c r="CR23" s="10">
        <v>3749.3447999999999</v>
      </c>
      <c r="CS23" s="10">
        <v>204892</v>
      </c>
      <c r="CT23" s="10">
        <v>55</v>
      </c>
      <c r="CV23" s="10" t="s">
        <v>164</v>
      </c>
      <c r="CW23" s="10" t="s">
        <v>144</v>
      </c>
      <c r="CX23" s="10">
        <v>43</v>
      </c>
      <c r="CY23" s="10">
        <v>201801.769023261</v>
      </c>
      <c r="CZ23" s="10">
        <v>53.823209063957499</v>
      </c>
      <c r="DA23" s="10">
        <v>3749.3447999999999</v>
      </c>
      <c r="DC23" s="10" t="s">
        <v>164</v>
      </c>
      <c r="DD23" s="10" t="s">
        <v>144</v>
      </c>
      <c r="DE23" s="11">
        <v>362181.49929447798</v>
      </c>
      <c r="DF23" s="10">
        <v>43</v>
      </c>
      <c r="DG23" s="11">
        <v>96.598613945638206</v>
      </c>
      <c r="DH23" s="11">
        <v>3749.3446800209699</v>
      </c>
      <c r="DL23" s="11"/>
      <c r="DM23" s="10">
        <v>2900000</v>
      </c>
      <c r="DU23" s="10">
        <v>319670</v>
      </c>
      <c r="DY23" s="10">
        <v>580000</v>
      </c>
      <c r="EB23" s="10">
        <v>100000</v>
      </c>
      <c r="EC23" s="10">
        <v>265000</v>
      </c>
      <c r="ED23" s="10">
        <v>674224</v>
      </c>
      <c r="EJ23" s="11">
        <f>1860467*DH23/SUM($DH$22:$DH$23)</f>
        <v>695928.37363539636</v>
      </c>
      <c r="EQ23" s="11">
        <f>1307519*DH23/(SUM($DH$22:$DH$23))</f>
        <v>489092.02429679205</v>
      </c>
      <c r="ER23" s="10">
        <f t="shared" si="53"/>
        <v>5534822.3736353964</v>
      </c>
      <c r="ES23" s="10">
        <f t="shared" si="40"/>
        <v>4231676.1198748108</v>
      </c>
      <c r="ET23" s="10">
        <f t="shared" si="6"/>
        <v>0.10601222115229456</v>
      </c>
      <c r="EU23" s="10">
        <f t="shared" si="7"/>
        <v>1128.6441981245489</v>
      </c>
      <c r="EZ23" s="10">
        <v>1500000</v>
      </c>
      <c r="FH23" s="10">
        <v>1500000</v>
      </c>
      <c r="FN23" s="10">
        <v>9338000</v>
      </c>
      <c r="FP23" s="10">
        <v>2440250</v>
      </c>
      <c r="FQ23" s="10">
        <v>3121700</v>
      </c>
      <c r="FR23" s="10">
        <v>2440250</v>
      </c>
      <c r="GE23" s="10">
        <f>28000000*DH23/(SUM($DH$22:$DH$23))</f>
        <v>10473711.418579904</v>
      </c>
      <c r="GG23" s="10">
        <f t="shared" si="54"/>
        <v>0</v>
      </c>
      <c r="GH23" s="10">
        <f t="shared" si="55"/>
        <v>0</v>
      </c>
      <c r="GI23" s="10">
        <f t="shared" si="56"/>
        <v>0</v>
      </c>
      <c r="GJ23" s="10">
        <f t="shared" si="57"/>
        <v>0</v>
      </c>
      <c r="GK23" s="10">
        <f t="shared" si="58"/>
        <v>0</v>
      </c>
      <c r="GL23" s="10">
        <f t="shared" si="59"/>
        <v>0</v>
      </c>
      <c r="GM23" s="10">
        <f t="shared" si="59"/>
        <v>0</v>
      </c>
      <c r="GN23" s="10">
        <f t="shared" si="59"/>
        <v>0</v>
      </c>
      <c r="GO23" s="10">
        <f t="shared" si="59"/>
        <v>0</v>
      </c>
      <c r="GP23" s="10">
        <f t="shared" si="60"/>
        <v>20340200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couplets_study_1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Thomas</dc:creator>
  <cp:lastModifiedBy>Owen Thomas</cp:lastModifiedBy>
  <dcterms:created xsi:type="dcterms:W3CDTF">2024-07-15T23:49:23Z</dcterms:created>
  <dcterms:modified xsi:type="dcterms:W3CDTF">2025-03-19T02:09:40Z</dcterms:modified>
</cp:coreProperties>
</file>