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esktop\"/>
    </mc:Choice>
  </mc:AlternateContent>
  <xr:revisionPtr revIDLastSave="0" documentId="13_ncr:1_{D59BD586-9DF5-4012-806C-1C685C041E47}" xr6:coauthVersionLast="45" xr6:coauthVersionMax="45" xr10:uidLastSave="{00000000-0000-0000-0000-000000000000}"/>
  <bookViews>
    <workbookView xWindow="-120" yWindow="-120" windowWidth="38640" windowHeight="21240" xr2:uid="{DA541646-8869-4BCA-971D-999AEDAC1080}"/>
  </bookViews>
  <sheets>
    <sheet name="Driver analysis" sheetId="1" r:id="rId1"/>
    <sheet name="Assumptions" sheetId="2" r:id="rId2"/>
    <sheet name="Miner Model" sheetId="4" r:id="rId3"/>
    <sheet name="Statements" sheetId="3" r:id="rId4"/>
    <sheet name="Valuation" sheetId="5" r:id="rId5"/>
  </sheets>
  <definedNames>
    <definedName name="btc_price_19">Assumptions!#REF!</definedName>
    <definedName name="btc_price_20">Assumptions!#REF!</definedName>
    <definedName name="btc_price_21">Assumptions!#REF!</definedName>
    <definedName name="Difficulty">Assumptions!#REF!</definedName>
    <definedName name="dv">Assumptions!$C$11</definedName>
    <definedName name="exp_growth">Assumptions!$C$5</definedName>
    <definedName name="hosting_cost">Assumptions!#REF!</definedName>
    <definedName name="power_price">Assumptions!#REF!</definedName>
    <definedName name="S17_HR">Assumptions!#REF!</definedName>
    <definedName name="Z11_HR">Assumptions!#REF!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2" i="4" l="1"/>
  <c r="H22" i="4"/>
  <c r="H18" i="4"/>
  <c r="T21" i="4"/>
  <c r="U21" i="4" s="1"/>
  <c r="V21" i="4" s="1"/>
  <c r="W21" i="4" s="1"/>
  <c r="X21" i="4" s="1"/>
  <c r="Y21" i="4" s="1"/>
  <c r="Z21" i="4" s="1"/>
  <c r="AA21" i="4" s="1"/>
  <c r="AB21" i="4" s="1"/>
  <c r="AC21" i="4" s="1"/>
  <c r="AD21" i="4" s="1"/>
  <c r="AE21" i="4" s="1"/>
  <c r="AF21" i="4" s="1"/>
  <c r="AG21" i="4" s="1"/>
  <c r="AH21" i="4" s="1"/>
  <c r="AI21" i="4" s="1"/>
  <c r="AJ21" i="4" s="1"/>
  <c r="AK21" i="4" s="1"/>
  <c r="AL21" i="4" s="1"/>
  <c r="AM21" i="4" s="1"/>
  <c r="AN21" i="4" s="1"/>
  <c r="AO21" i="4" s="1"/>
  <c r="AP21" i="4" s="1"/>
  <c r="AQ21" i="4" s="1"/>
  <c r="AR21" i="4" s="1"/>
  <c r="AS21" i="4" s="1"/>
  <c r="AT21" i="4" s="1"/>
  <c r="AU21" i="4" s="1"/>
  <c r="AV21" i="4" s="1"/>
  <c r="AW21" i="4" s="1"/>
  <c r="AX21" i="4" s="1"/>
  <c r="AY21" i="4" s="1"/>
  <c r="AZ21" i="4" s="1"/>
  <c r="BA21" i="4" s="1"/>
  <c r="BB21" i="4" s="1"/>
  <c r="BC21" i="4" s="1"/>
  <c r="S17" i="4"/>
  <c r="S25" i="4" s="1"/>
  <c r="S96" i="4" s="1"/>
  <c r="R17" i="4"/>
  <c r="R25" i="4" s="1"/>
  <c r="R96" i="4" s="1"/>
  <c r="Q17" i="4"/>
  <c r="Q25" i="4" s="1"/>
  <c r="Q96" i="4" s="1"/>
  <c r="P17" i="4"/>
  <c r="P25" i="4" s="1"/>
  <c r="P96" i="4" s="1"/>
  <c r="O17" i="4"/>
  <c r="O25" i="4" s="1"/>
  <c r="O96" i="4" s="1"/>
  <c r="N17" i="4"/>
  <c r="N25" i="4" s="1"/>
  <c r="N96" i="4" s="1"/>
  <c r="M17" i="4"/>
  <c r="M25" i="4" s="1"/>
  <c r="M96" i="4" s="1"/>
  <c r="L17" i="4"/>
  <c r="L25" i="4" s="1"/>
  <c r="L96" i="4" s="1"/>
  <c r="K17" i="4"/>
  <c r="K25" i="4" s="1"/>
  <c r="K96" i="4" s="1"/>
  <c r="J17" i="4"/>
  <c r="J25" i="4" s="1"/>
  <c r="J96" i="4" s="1"/>
  <c r="I17" i="4"/>
  <c r="I25" i="4" s="1"/>
  <c r="I96" i="4" s="1"/>
  <c r="H17" i="4"/>
  <c r="H25" i="4" s="1"/>
  <c r="C17" i="4"/>
  <c r="C21" i="4"/>
  <c r="T10" i="4"/>
  <c r="T17" i="4" s="1"/>
  <c r="T25" i="4" s="1"/>
  <c r="T96" i="4" s="1"/>
  <c r="C28" i="5"/>
  <c r="G9" i="5"/>
  <c r="E9" i="5"/>
  <c r="F9" i="5"/>
  <c r="D9" i="5"/>
  <c r="F85" i="3"/>
  <c r="E85" i="3"/>
  <c r="D85" i="3"/>
  <c r="C85" i="3"/>
  <c r="D80" i="3"/>
  <c r="E80" i="3"/>
  <c r="F80" i="3"/>
  <c r="C80" i="3"/>
  <c r="C26" i="3"/>
  <c r="C73" i="3" s="1"/>
  <c r="C22" i="3"/>
  <c r="C25" i="3" s="1"/>
  <c r="D92" i="4"/>
  <c r="E92" i="4"/>
  <c r="F92" i="4"/>
  <c r="C92" i="4"/>
  <c r="H81" i="4"/>
  <c r="I81" i="4"/>
  <c r="J81" i="4" s="1"/>
  <c r="K81" i="4" s="1"/>
  <c r="U10" i="4"/>
  <c r="U17" i="4" s="1"/>
  <c r="U25" i="4" s="1"/>
  <c r="U96" i="4" s="1"/>
  <c r="C10" i="4"/>
  <c r="I72" i="4"/>
  <c r="H69" i="4"/>
  <c r="H68" i="4"/>
  <c r="I68" i="4" s="1"/>
  <c r="H59" i="4"/>
  <c r="I59" i="4"/>
  <c r="N14" i="4"/>
  <c r="N18" i="4" s="1"/>
  <c r="N26" i="4" s="1"/>
  <c r="O14" i="4"/>
  <c r="O18" i="4" s="1"/>
  <c r="O26" i="4" s="1"/>
  <c r="P14" i="4"/>
  <c r="P18" i="4" s="1"/>
  <c r="P26" i="4" s="1"/>
  <c r="Q14" i="4"/>
  <c r="Q18" i="4" s="1"/>
  <c r="Q26" i="4" s="1"/>
  <c r="R14" i="4"/>
  <c r="R18" i="4" s="1"/>
  <c r="R26" i="4" s="1"/>
  <c r="S14" i="4"/>
  <c r="S18" i="4" s="1"/>
  <c r="S26" i="4" s="1"/>
  <c r="F44" i="4"/>
  <c r="E44" i="4"/>
  <c r="D44" i="4"/>
  <c r="C44" i="4"/>
  <c r="F43" i="4"/>
  <c r="E43" i="4"/>
  <c r="D43" i="4"/>
  <c r="C43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K40" i="4"/>
  <c r="J40" i="4"/>
  <c r="I40" i="4"/>
  <c r="H40" i="4"/>
  <c r="C39" i="4"/>
  <c r="C64" i="3" s="1"/>
  <c r="C79" i="3" s="1"/>
  <c r="C81" i="3" s="1"/>
  <c r="D39" i="4"/>
  <c r="D64" i="3" s="1"/>
  <c r="D79" i="3" s="1"/>
  <c r="D81" i="3" s="1"/>
  <c r="E39" i="4"/>
  <c r="E64" i="3" s="1"/>
  <c r="E79" i="3" s="1"/>
  <c r="E81" i="3" s="1"/>
  <c r="F39" i="4"/>
  <c r="F64" i="3" s="1"/>
  <c r="F38" i="4"/>
  <c r="C38" i="4"/>
  <c r="D38" i="4"/>
  <c r="E38" i="4"/>
  <c r="BC40" i="4"/>
  <c r="BB40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F6" i="4"/>
  <c r="C25" i="4" l="1"/>
  <c r="C105" i="4" s="1"/>
  <c r="H96" i="4"/>
  <c r="C96" i="4" s="1"/>
  <c r="H95" i="4"/>
  <c r="I95" i="4"/>
  <c r="I97" i="4" s="1"/>
  <c r="I107" i="4" s="1"/>
  <c r="J95" i="4"/>
  <c r="J97" i="4" s="1"/>
  <c r="J107" i="4" s="1"/>
  <c r="K95" i="4"/>
  <c r="K97" i="4" s="1"/>
  <c r="K107" i="4" s="1"/>
  <c r="L95" i="4"/>
  <c r="L97" i="4" s="1"/>
  <c r="L107" i="4" s="1"/>
  <c r="M95" i="4"/>
  <c r="M97" i="4" s="1"/>
  <c r="M107" i="4" s="1"/>
  <c r="N95" i="4"/>
  <c r="N97" i="4" s="1"/>
  <c r="N107" i="4" s="1"/>
  <c r="O95" i="4"/>
  <c r="O97" i="4" s="1"/>
  <c r="O107" i="4" s="1"/>
  <c r="P95" i="4"/>
  <c r="P97" i="4" s="1"/>
  <c r="P107" i="4" s="1"/>
  <c r="Q95" i="4"/>
  <c r="Q97" i="4" s="1"/>
  <c r="Q107" i="4" s="1"/>
  <c r="R95" i="4"/>
  <c r="R97" i="4" s="1"/>
  <c r="R107" i="4" s="1"/>
  <c r="S95" i="4"/>
  <c r="S97" i="4" s="1"/>
  <c r="S107" i="4" s="1"/>
  <c r="T95" i="4"/>
  <c r="U95" i="4"/>
  <c r="N22" i="4"/>
  <c r="O22" i="4"/>
  <c r="P22" i="4"/>
  <c r="Q22" i="4"/>
  <c r="R22" i="4"/>
  <c r="S22" i="4"/>
  <c r="V22" i="4"/>
  <c r="W22" i="4" s="1"/>
  <c r="X22" i="4" s="1"/>
  <c r="Y22" i="4" s="1"/>
  <c r="Z22" i="4" s="1"/>
  <c r="AA22" i="4" s="1"/>
  <c r="AB22" i="4" s="1"/>
  <c r="AC22" i="4" s="1"/>
  <c r="AD22" i="4" s="1"/>
  <c r="AE22" i="4" s="1"/>
  <c r="AF22" i="4" s="1"/>
  <c r="H26" i="4"/>
  <c r="C32" i="3"/>
  <c r="H97" i="4"/>
  <c r="H107" i="4" s="1"/>
  <c r="F79" i="3"/>
  <c r="F81" i="3" s="1"/>
  <c r="L81" i="4"/>
  <c r="V10" i="4"/>
  <c r="V17" i="4" s="1"/>
  <c r="V25" i="4" s="1"/>
  <c r="W10" i="4"/>
  <c r="W17" i="4" s="1"/>
  <c r="W25" i="4" s="1"/>
  <c r="X10" i="4"/>
  <c r="X17" i="4" s="1"/>
  <c r="X25" i="4" s="1"/>
  <c r="Y10" i="4"/>
  <c r="Y17" i="4" s="1"/>
  <c r="Y25" i="4" s="1"/>
  <c r="Z10" i="4"/>
  <c r="Z17" i="4" s="1"/>
  <c r="Z25" i="4" s="1"/>
  <c r="AA10" i="4"/>
  <c r="AA17" i="4" s="1"/>
  <c r="AA25" i="4" s="1"/>
  <c r="AB10" i="4"/>
  <c r="AB17" i="4" s="1"/>
  <c r="AB25" i="4" s="1"/>
  <c r="AC10" i="4"/>
  <c r="AC17" i="4" s="1"/>
  <c r="AC25" i="4" s="1"/>
  <c r="AD10" i="4"/>
  <c r="AD17" i="4" s="1"/>
  <c r="AD25" i="4" s="1"/>
  <c r="AE10" i="4"/>
  <c r="AE17" i="4" s="1"/>
  <c r="AE25" i="4" s="1"/>
  <c r="AF10" i="4"/>
  <c r="AF17" i="4" s="1"/>
  <c r="AF25" i="4" s="1"/>
  <c r="J68" i="4"/>
  <c r="I69" i="4"/>
  <c r="J72" i="4"/>
  <c r="K72" i="4" s="1"/>
  <c r="L72" i="4" s="1"/>
  <c r="M72" i="4" s="1"/>
  <c r="N72" i="4" s="1"/>
  <c r="O72" i="4" s="1"/>
  <c r="P72" i="4" s="1"/>
  <c r="Q72" i="4" s="1"/>
  <c r="R72" i="4" s="1"/>
  <c r="S72" i="4" s="1"/>
  <c r="T72" i="4" s="1"/>
  <c r="C72" i="4"/>
  <c r="F45" i="4"/>
  <c r="F40" i="4"/>
  <c r="D49" i="3"/>
  <c r="C67" i="3"/>
  <c r="D66" i="3" s="1"/>
  <c r="D26" i="3" s="1"/>
  <c r="D73" i="3" s="1"/>
  <c r="E43" i="3"/>
  <c r="F43" i="3" s="1"/>
  <c r="E44" i="3"/>
  <c r="F44" i="3" s="1"/>
  <c r="H35" i="4"/>
  <c r="D18" i="3"/>
  <c r="E18" i="3" s="1"/>
  <c r="F18" i="3" s="1"/>
  <c r="D19" i="3"/>
  <c r="E19" i="3" s="1"/>
  <c r="F19" i="3" s="1"/>
  <c r="D20" i="3"/>
  <c r="E20" i="3" s="1"/>
  <c r="F20" i="3" s="1"/>
  <c r="D21" i="3"/>
  <c r="E21" i="3" s="1"/>
  <c r="F21" i="3" s="1"/>
  <c r="D17" i="3"/>
  <c r="E17" i="3" s="1"/>
  <c r="F17" i="3" s="1"/>
  <c r="C34" i="4"/>
  <c r="C49" i="4" s="1"/>
  <c r="C33" i="4"/>
  <c r="C48" i="4" s="1"/>
  <c r="E3" i="4"/>
  <c r="D3" i="4"/>
  <c r="C3" i="4"/>
  <c r="K59" i="4"/>
  <c r="L59" i="4"/>
  <c r="J59" i="4"/>
  <c r="J14" i="4"/>
  <c r="K14" i="4"/>
  <c r="L14" i="4"/>
  <c r="M14" i="4"/>
  <c r="I14" i="4"/>
  <c r="I22" i="4" s="1"/>
  <c r="H49" i="4"/>
  <c r="I34" i="4" s="1"/>
  <c r="I49" i="4" s="1"/>
  <c r="J34" i="4" s="1"/>
  <c r="J49" i="4" s="1"/>
  <c r="K34" i="4" s="1"/>
  <c r="K49" i="4" s="1"/>
  <c r="L34" i="4" s="1"/>
  <c r="L49" i="4" s="1"/>
  <c r="M34" i="4" s="1"/>
  <c r="M49" i="4" s="1"/>
  <c r="N34" i="4" s="1"/>
  <c r="N49" i="4" s="1"/>
  <c r="O34" i="4" s="1"/>
  <c r="O49" i="4" s="1"/>
  <c r="P34" i="4" s="1"/>
  <c r="P49" i="4" s="1"/>
  <c r="Q34" i="4" s="1"/>
  <c r="Q49" i="4" s="1"/>
  <c r="R34" i="4" s="1"/>
  <c r="R49" i="4" s="1"/>
  <c r="S34" i="4" s="1"/>
  <c r="S49" i="4" s="1"/>
  <c r="T34" i="4" s="1"/>
  <c r="T49" i="4" s="1"/>
  <c r="U34" i="4" s="1"/>
  <c r="U49" i="4" s="1"/>
  <c r="V34" i="4" s="1"/>
  <c r="V49" i="4" s="1"/>
  <c r="W34" i="4" s="1"/>
  <c r="W49" i="4" s="1"/>
  <c r="X34" i="4" s="1"/>
  <c r="X49" i="4" s="1"/>
  <c r="Y34" i="4" s="1"/>
  <c r="Y49" i="4" s="1"/>
  <c r="Z34" i="4" s="1"/>
  <c r="Z49" i="4" s="1"/>
  <c r="AA34" i="4" s="1"/>
  <c r="AA49" i="4" s="1"/>
  <c r="AF96" i="4" l="1"/>
  <c r="AF95" i="4"/>
  <c r="AE96" i="4"/>
  <c r="AE95" i="4"/>
  <c r="AD96" i="4"/>
  <c r="AD95" i="4"/>
  <c r="AC96" i="4"/>
  <c r="AC95" i="4"/>
  <c r="AB96" i="4"/>
  <c r="AB95" i="4"/>
  <c r="AA96" i="4"/>
  <c r="AA95" i="4"/>
  <c r="Z96" i="4"/>
  <c r="Z95" i="4"/>
  <c r="Y96" i="4"/>
  <c r="Y95" i="4"/>
  <c r="X96" i="4"/>
  <c r="X95" i="4"/>
  <c r="W96" i="4"/>
  <c r="W95" i="4"/>
  <c r="V96" i="4"/>
  <c r="V95" i="4"/>
  <c r="C95" i="4"/>
  <c r="C97" i="4" s="1"/>
  <c r="C9" i="3" s="1"/>
  <c r="D25" i="4"/>
  <c r="D105" i="4" s="1"/>
  <c r="M18" i="4"/>
  <c r="M26" i="4" s="1"/>
  <c r="M22" i="4"/>
  <c r="L18" i="4"/>
  <c r="L26" i="4" s="1"/>
  <c r="L22" i="4"/>
  <c r="K18" i="4"/>
  <c r="K26" i="4" s="1"/>
  <c r="K22" i="4"/>
  <c r="J18" i="4"/>
  <c r="J26" i="4" s="1"/>
  <c r="J22" i="4"/>
  <c r="C22" i="4" s="1"/>
  <c r="AG22" i="4"/>
  <c r="D22" i="4"/>
  <c r="T14" i="4"/>
  <c r="T18" i="4" s="1"/>
  <c r="I18" i="4"/>
  <c r="D17" i="4"/>
  <c r="D21" i="4"/>
  <c r="M81" i="4"/>
  <c r="L85" i="4"/>
  <c r="J85" i="4"/>
  <c r="I85" i="4"/>
  <c r="K85" i="4"/>
  <c r="H85" i="4"/>
  <c r="AB34" i="4"/>
  <c r="AB49" i="4" s="1"/>
  <c r="D75" i="3"/>
  <c r="E49" i="3"/>
  <c r="D22" i="3"/>
  <c r="D25" i="3" s="1"/>
  <c r="D10" i="4"/>
  <c r="AG10" i="4"/>
  <c r="AG17" i="4" s="1"/>
  <c r="AG25" i="4" s="1"/>
  <c r="H76" i="4"/>
  <c r="J69" i="4"/>
  <c r="I76" i="4"/>
  <c r="K68" i="4"/>
  <c r="U72" i="4"/>
  <c r="V72" i="4" s="1"/>
  <c r="W72" i="4" s="1"/>
  <c r="X72" i="4" s="1"/>
  <c r="Y72" i="4" s="1"/>
  <c r="Z72" i="4" s="1"/>
  <c r="AA72" i="4" s="1"/>
  <c r="AB72" i="4" s="1"/>
  <c r="AC72" i="4" s="1"/>
  <c r="AD72" i="4" s="1"/>
  <c r="AE72" i="4" s="1"/>
  <c r="AF72" i="4" s="1"/>
  <c r="D72" i="4"/>
  <c r="C40" i="4"/>
  <c r="D40" i="4"/>
  <c r="E40" i="4"/>
  <c r="C45" i="4"/>
  <c r="D45" i="4"/>
  <c r="E45" i="4"/>
  <c r="C35" i="4"/>
  <c r="C42" i="3"/>
  <c r="D63" i="3"/>
  <c r="D67" i="3" s="1"/>
  <c r="C6" i="4"/>
  <c r="E6" i="4"/>
  <c r="D6" i="4"/>
  <c r="C14" i="4"/>
  <c r="AG96" i="4" l="1"/>
  <c r="AG95" i="4"/>
  <c r="I26" i="4"/>
  <c r="C26" i="4" s="1"/>
  <c r="C18" i="4"/>
  <c r="T26" i="4"/>
  <c r="AH22" i="4"/>
  <c r="D32" i="3"/>
  <c r="N81" i="4"/>
  <c r="M85" i="4"/>
  <c r="AC34" i="4"/>
  <c r="AC49" i="4" s="1"/>
  <c r="E75" i="3"/>
  <c r="F49" i="3"/>
  <c r="F75" i="3" s="1"/>
  <c r="F22" i="3"/>
  <c r="F25" i="3" s="1"/>
  <c r="E22" i="3"/>
  <c r="E25" i="3" s="1"/>
  <c r="AH10" i="4"/>
  <c r="AH17" i="4" s="1"/>
  <c r="AH25" i="4" s="1"/>
  <c r="AI10" i="4"/>
  <c r="AI17" i="4" s="1"/>
  <c r="AI25" i="4" s="1"/>
  <c r="AJ10" i="4"/>
  <c r="AJ17" i="4" s="1"/>
  <c r="AJ25" i="4" s="1"/>
  <c r="AK10" i="4"/>
  <c r="AK17" i="4" s="1"/>
  <c r="AK25" i="4" s="1"/>
  <c r="AL10" i="4"/>
  <c r="AL17" i="4" s="1"/>
  <c r="AL25" i="4" s="1"/>
  <c r="AM10" i="4"/>
  <c r="AM17" i="4" s="1"/>
  <c r="AM25" i="4" s="1"/>
  <c r="AN10" i="4"/>
  <c r="AN17" i="4" s="1"/>
  <c r="AN25" i="4" s="1"/>
  <c r="AO10" i="4"/>
  <c r="AO17" i="4" s="1"/>
  <c r="AO25" i="4" s="1"/>
  <c r="AP10" i="4"/>
  <c r="AP17" i="4" s="1"/>
  <c r="AP25" i="4" s="1"/>
  <c r="AQ10" i="4"/>
  <c r="AQ17" i="4" s="1"/>
  <c r="AQ25" i="4" s="1"/>
  <c r="E10" i="4"/>
  <c r="AR10" i="4"/>
  <c r="AR17" i="4" s="1"/>
  <c r="AR25" i="4" s="1"/>
  <c r="L68" i="4"/>
  <c r="K69" i="4"/>
  <c r="J76" i="4"/>
  <c r="AG72" i="4"/>
  <c r="E66" i="3"/>
  <c r="E26" i="3" s="1"/>
  <c r="E73" i="3" s="1"/>
  <c r="D42" i="3"/>
  <c r="E63" i="3"/>
  <c r="E67" i="3" s="1"/>
  <c r="E42" i="3" s="1"/>
  <c r="F66" i="3"/>
  <c r="F26" i="3" s="1"/>
  <c r="F73" i="3" s="1"/>
  <c r="U14" i="4"/>
  <c r="AR96" i="4" l="1"/>
  <c r="AR95" i="4"/>
  <c r="AQ96" i="4"/>
  <c r="AQ95" i="4"/>
  <c r="AP96" i="4"/>
  <c r="AP95" i="4"/>
  <c r="AO96" i="4"/>
  <c r="AO95" i="4"/>
  <c r="AN96" i="4"/>
  <c r="AN95" i="4"/>
  <c r="AM96" i="4"/>
  <c r="AM95" i="4"/>
  <c r="AL96" i="4"/>
  <c r="AL95" i="4"/>
  <c r="AK96" i="4"/>
  <c r="AK95" i="4"/>
  <c r="AJ96" i="4"/>
  <c r="AJ95" i="4"/>
  <c r="AI96" i="4"/>
  <c r="AI95" i="4"/>
  <c r="AH96" i="4"/>
  <c r="AH95" i="4"/>
  <c r="E25" i="4"/>
  <c r="E105" i="4" s="1"/>
  <c r="AI22" i="4"/>
  <c r="V14" i="4"/>
  <c r="U18" i="4"/>
  <c r="E17" i="4"/>
  <c r="E21" i="4"/>
  <c r="E32" i="3"/>
  <c r="O81" i="4"/>
  <c r="N85" i="4"/>
  <c r="AD34" i="4"/>
  <c r="AD49" i="4" s="1"/>
  <c r="AS10" i="4"/>
  <c r="AS17" i="4" s="1"/>
  <c r="AS25" i="4" s="1"/>
  <c r="L69" i="4"/>
  <c r="K76" i="4"/>
  <c r="M68" i="4"/>
  <c r="AH72" i="4"/>
  <c r="F63" i="3"/>
  <c r="F67" i="3"/>
  <c r="F42" i="3" s="1"/>
  <c r="AS96" i="4" l="1"/>
  <c r="AS95" i="4"/>
  <c r="U26" i="4"/>
  <c r="AJ22" i="4"/>
  <c r="W14" i="4"/>
  <c r="V18" i="4"/>
  <c r="V26" i="4" s="1"/>
  <c r="P81" i="4"/>
  <c r="O85" i="4"/>
  <c r="AE34" i="4"/>
  <c r="AT10" i="4"/>
  <c r="AT17" i="4" s="1"/>
  <c r="AT25" i="4" s="1"/>
  <c r="AU10" i="4"/>
  <c r="AU17" i="4" s="1"/>
  <c r="AU25" i="4" s="1"/>
  <c r="AV10" i="4"/>
  <c r="AV17" i="4" s="1"/>
  <c r="AV25" i="4" s="1"/>
  <c r="AW10" i="4"/>
  <c r="AW17" i="4" s="1"/>
  <c r="AW25" i="4" s="1"/>
  <c r="AX10" i="4"/>
  <c r="AX17" i="4" s="1"/>
  <c r="AX25" i="4" s="1"/>
  <c r="AY10" i="4"/>
  <c r="AY17" i="4" s="1"/>
  <c r="AY25" i="4" s="1"/>
  <c r="AZ10" i="4"/>
  <c r="AZ17" i="4" s="1"/>
  <c r="AZ25" i="4" s="1"/>
  <c r="BA10" i="4"/>
  <c r="BA17" i="4" s="1"/>
  <c r="BA25" i="4" s="1"/>
  <c r="BB10" i="4"/>
  <c r="BB17" i="4" s="1"/>
  <c r="BB25" i="4" s="1"/>
  <c r="BC10" i="4"/>
  <c r="BC17" i="4" s="1"/>
  <c r="BC25" i="4" s="1"/>
  <c r="N68" i="4"/>
  <c r="M69" i="4"/>
  <c r="L76" i="4"/>
  <c r="AI72" i="4"/>
  <c r="BC96" i="4" l="1"/>
  <c r="BC95" i="4"/>
  <c r="BB96" i="4"/>
  <c r="BB95" i="4"/>
  <c r="BA96" i="4"/>
  <c r="BA95" i="4"/>
  <c r="AZ96" i="4"/>
  <c r="AZ95" i="4"/>
  <c r="AY96" i="4"/>
  <c r="AY95" i="4"/>
  <c r="AX96" i="4"/>
  <c r="AX95" i="4"/>
  <c r="AW96" i="4"/>
  <c r="AW95" i="4"/>
  <c r="AV96" i="4"/>
  <c r="AV95" i="4"/>
  <c r="AU96" i="4"/>
  <c r="AU95" i="4"/>
  <c r="AT96" i="4"/>
  <c r="AT95" i="4"/>
  <c r="F25" i="4"/>
  <c r="F105" i="4" s="1"/>
  <c r="AK22" i="4"/>
  <c r="X14" i="4"/>
  <c r="W18" i="4"/>
  <c r="W26" i="4" s="1"/>
  <c r="F21" i="4"/>
  <c r="F17" i="4"/>
  <c r="Q81" i="4"/>
  <c r="P85" i="4"/>
  <c r="AE49" i="4"/>
  <c r="D34" i="4"/>
  <c r="D49" i="4" s="1"/>
  <c r="F10" i="4"/>
  <c r="N69" i="4"/>
  <c r="M76" i="4"/>
  <c r="O68" i="4"/>
  <c r="AJ72" i="4"/>
  <c r="H48" i="4"/>
  <c r="H84" i="4" s="1"/>
  <c r="AL22" i="4" l="1"/>
  <c r="Y14" i="4"/>
  <c r="X18" i="4"/>
  <c r="X26" i="4" s="1"/>
  <c r="H86" i="4"/>
  <c r="H101" i="4" s="1"/>
  <c r="F32" i="3"/>
  <c r="R81" i="4"/>
  <c r="Q85" i="4"/>
  <c r="AF34" i="4"/>
  <c r="AF49" i="4" s="1"/>
  <c r="H52" i="4"/>
  <c r="H75" i="4"/>
  <c r="H77" i="4" s="1"/>
  <c r="H100" i="4" s="1"/>
  <c r="H102" i="4" s="1"/>
  <c r="P68" i="4"/>
  <c r="O69" i="4"/>
  <c r="N76" i="4"/>
  <c r="AK72" i="4"/>
  <c r="I33" i="4"/>
  <c r="I35" i="4" s="1"/>
  <c r="AM22" i="4" l="1"/>
  <c r="Z14" i="4"/>
  <c r="Y18" i="4"/>
  <c r="Y26" i="4" s="1"/>
  <c r="S81" i="4"/>
  <c r="R85" i="4"/>
  <c r="AG34" i="4"/>
  <c r="AG49" i="4" s="1"/>
  <c r="P69" i="4"/>
  <c r="O76" i="4"/>
  <c r="Q68" i="4"/>
  <c r="AL72" i="4"/>
  <c r="I48" i="4"/>
  <c r="I84" i="4" s="1"/>
  <c r="AN22" i="4" l="1"/>
  <c r="AA14" i="4"/>
  <c r="Z18" i="4"/>
  <c r="Z26" i="4" s="1"/>
  <c r="I86" i="4"/>
  <c r="I101" i="4" s="1"/>
  <c r="T81" i="4"/>
  <c r="S85" i="4"/>
  <c r="C85" i="4" s="1"/>
  <c r="C81" i="4"/>
  <c r="AH34" i="4"/>
  <c r="AH49" i="4" s="1"/>
  <c r="I52" i="4"/>
  <c r="I75" i="4"/>
  <c r="I77" i="4" s="1"/>
  <c r="I100" i="4" s="1"/>
  <c r="R68" i="4"/>
  <c r="Q69" i="4"/>
  <c r="P76" i="4"/>
  <c r="AM72" i="4"/>
  <c r="J33" i="4"/>
  <c r="J48" i="4"/>
  <c r="J35" i="4"/>
  <c r="J52" i="4" s="1"/>
  <c r="K33" i="4"/>
  <c r="AO22" i="4" l="1"/>
  <c r="AB14" i="4"/>
  <c r="AA18" i="4"/>
  <c r="AA26" i="4" s="1"/>
  <c r="J75" i="4"/>
  <c r="J84" i="4"/>
  <c r="T85" i="4"/>
  <c r="U81" i="4"/>
  <c r="I102" i="4"/>
  <c r="AI34" i="4"/>
  <c r="AI49" i="4" s="1"/>
  <c r="R69" i="4"/>
  <c r="Q76" i="4"/>
  <c r="S68" i="4"/>
  <c r="AN72" i="4"/>
  <c r="K48" i="4"/>
  <c r="K84" i="4" s="1"/>
  <c r="K86" i="4" s="1"/>
  <c r="K101" i="4" s="1"/>
  <c r="K35" i="4"/>
  <c r="K52" i="4" s="1"/>
  <c r="J77" i="4"/>
  <c r="J100" i="4" s="1"/>
  <c r="J50" i="4"/>
  <c r="J62" i="4"/>
  <c r="L33" i="4"/>
  <c r="L35" i="4" s="1"/>
  <c r="K62" i="4"/>
  <c r="L62" i="4" s="1"/>
  <c r="M62" i="4" s="1"/>
  <c r="N62" i="4" s="1"/>
  <c r="AP22" i="4" l="1"/>
  <c r="AQ22" i="4" s="1"/>
  <c r="AC14" i="4"/>
  <c r="AB18" i="4"/>
  <c r="AB26" i="4" s="1"/>
  <c r="V81" i="4"/>
  <c r="U85" i="4"/>
  <c r="J86" i="4"/>
  <c r="J101" i="4" s="1"/>
  <c r="J102" i="4" s="1"/>
  <c r="AJ34" i="4"/>
  <c r="AJ49" i="4" s="1"/>
  <c r="K50" i="4"/>
  <c r="K75" i="4"/>
  <c r="T68" i="4"/>
  <c r="C68" i="4"/>
  <c r="S69" i="4"/>
  <c r="R76" i="4"/>
  <c r="C69" i="4"/>
  <c r="AO72" i="4"/>
  <c r="L48" i="4"/>
  <c r="L84" i="4" s="1"/>
  <c r="L86" i="4" s="1"/>
  <c r="L101" i="4" s="1"/>
  <c r="K77" i="4"/>
  <c r="K100" i="4" s="1"/>
  <c r="K102" i="4" s="1"/>
  <c r="O62" i="4"/>
  <c r="AR22" i="4" l="1"/>
  <c r="E22" i="4"/>
  <c r="AD14" i="4"/>
  <c r="AC18" i="4"/>
  <c r="AC26" i="4" s="1"/>
  <c r="W81" i="4"/>
  <c r="V85" i="4"/>
  <c r="AK34" i="4"/>
  <c r="AK49" i="4" s="1"/>
  <c r="L50" i="4"/>
  <c r="L75" i="4"/>
  <c r="L77" i="4" s="1"/>
  <c r="L100" i="4" s="1"/>
  <c r="L102" i="4" s="1"/>
  <c r="T69" i="4"/>
  <c r="S76" i="4"/>
  <c r="C76" i="4" s="1"/>
  <c r="U68" i="4"/>
  <c r="AP72" i="4"/>
  <c r="AQ72" i="4" s="1"/>
  <c r="L52" i="4"/>
  <c r="M33" i="4"/>
  <c r="M35" i="4" s="1"/>
  <c r="M48" i="4"/>
  <c r="M84" i="4" s="1"/>
  <c r="M86" i="4" s="1"/>
  <c r="M101" i="4" s="1"/>
  <c r="P62" i="4"/>
  <c r="N33" i="4"/>
  <c r="AS22" i="4" l="1"/>
  <c r="AT22" i="4" s="1"/>
  <c r="AU22" i="4" s="1"/>
  <c r="AV22" i="4" s="1"/>
  <c r="AW22" i="4" s="1"/>
  <c r="AX22" i="4" s="1"/>
  <c r="AY22" i="4" s="1"/>
  <c r="AZ22" i="4" s="1"/>
  <c r="BA22" i="4" s="1"/>
  <c r="BB22" i="4" s="1"/>
  <c r="BC22" i="4" s="1"/>
  <c r="F22" i="4"/>
  <c r="AE14" i="4"/>
  <c r="AD18" i="4"/>
  <c r="AD26" i="4" s="1"/>
  <c r="X81" i="4"/>
  <c r="W85" i="4"/>
  <c r="AL34" i="4"/>
  <c r="AL49" i="4" s="1"/>
  <c r="M75" i="4"/>
  <c r="M77" i="4" s="1"/>
  <c r="M100" i="4" s="1"/>
  <c r="M102" i="4" s="1"/>
  <c r="V68" i="4"/>
  <c r="T76" i="4"/>
  <c r="U69" i="4"/>
  <c r="AR72" i="4"/>
  <c r="E72" i="4"/>
  <c r="M52" i="4"/>
  <c r="N48" i="4"/>
  <c r="N84" i="4" s="1"/>
  <c r="N86" i="4" s="1"/>
  <c r="N101" i="4" s="1"/>
  <c r="N35" i="4"/>
  <c r="N52" i="4" s="1"/>
  <c r="O33" i="4"/>
  <c r="Q62" i="4"/>
  <c r="AF14" i="4" l="1"/>
  <c r="AE18" i="4"/>
  <c r="D14" i="4"/>
  <c r="Y81" i="4"/>
  <c r="X85" i="4"/>
  <c r="AM34" i="4"/>
  <c r="AM49" i="4" s="1"/>
  <c r="N50" i="4"/>
  <c r="N75" i="4"/>
  <c r="V69" i="4"/>
  <c r="U76" i="4"/>
  <c r="W68" i="4"/>
  <c r="AS72" i="4"/>
  <c r="AT72" i="4" s="1"/>
  <c r="AU72" i="4" s="1"/>
  <c r="AV72" i="4" s="1"/>
  <c r="AW72" i="4" s="1"/>
  <c r="AX72" i="4" s="1"/>
  <c r="AY72" i="4" s="1"/>
  <c r="AZ72" i="4" s="1"/>
  <c r="BA72" i="4" s="1"/>
  <c r="BB72" i="4" s="1"/>
  <c r="BC72" i="4" s="1"/>
  <c r="F72" i="4"/>
  <c r="O48" i="4"/>
  <c r="O84" i="4" s="1"/>
  <c r="O86" i="4" s="1"/>
  <c r="O101" i="4" s="1"/>
  <c r="O35" i="4"/>
  <c r="O52" i="4" s="1"/>
  <c r="N77" i="4"/>
  <c r="N100" i="4" s="1"/>
  <c r="N102" i="4" s="1"/>
  <c r="P33" i="4"/>
  <c r="R62" i="4"/>
  <c r="AE26" i="4" l="1"/>
  <c r="D26" i="4" s="1"/>
  <c r="D18" i="4"/>
  <c r="AF18" i="4"/>
  <c r="AG14" i="4"/>
  <c r="Z81" i="4"/>
  <c r="Y85" i="4"/>
  <c r="AN34" i="4"/>
  <c r="AN49" i="4" s="1"/>
  <c r="O50" i="4"/>
  <c r="O75" i="4"/>
  <c r="X68" i="4"/>
  <c r="W69" i="4"/>
  <c r="V76" i="4"/>
  <c r="P48" i="4"/>
  <c r="P84" i="4" s="1"/>
  <c r="P86" i="4" s="1"/>
  <c r="P101" i="4" s="1"/>
  <c r="P35" i="4"/>
  <c r="P52" i="4" s="1"/>
  <c r="O77" i="4"/>
  <c r="O100" i="4" s="1"/>
  <c r="O102" i="4" s="1"/>
  <c r="Q33" i="4"/>
  <c r="Q35" i="4" s="1"/>
  <c r="S62" i="4"/>
  <c r="C62" i="4" s="1"/>
  <c r="Q48" i="4"/>
  <c r="Q84" i="4" s="1"/>
  <c r="Q86" i="4" s="1"/>
  <c r="Q101" i="4" s="1"/>
  <c r="AF26" i="4" l="1"/>
  <c r="AG18" i="4"/>
  <c r="AH14" i="4"/>
  <c r="AA81" i="4"/>
  <c r="Z85" i="4"/>
  <c r="AO34" i="4"/>
  <c r="AO49" i="4" s="1"/>
  <c r="Q50" i="4"/>
  <c r="Q75" i="4"/>
  <c r="P50" i="4"/>
  <c r="P75" i="4"/>
  <c r="X69" i="4"/>
  <c r="W76" i="4"/>
  <c r="Y68" i="4"/>
  <c r="Q52" i="4"/>
  <c r="P77" i="4"/>
  <c r="P100" i="4" s="1"/>
  <c r="P102" i="4" s="1"/>
  <c r="R33" i="4"/>
  <c r="Q77" i="4"/>
  <c r="Q100" i="4" s="1"/>
  <c r="Q102" i="4" s="1"/>
  <c r="T62" i="4"/>
  <c r="AG26" i="4" l="1"/>
  <c r="AI14" i="4"/>
  <c r="AH18" i="4"/>
  <c r="AH26" i="4" s="1"/>
  <c r="AB81" i="4"/>
  <c r="AA85" i="4"/>
  <c r="AP34" i="4"/>
  <c r="AP49" i="4" s="1"/>
  <c r="Z68" i="4"/>
  <c r="Y69" i="4"/>
  <c r="X76" i="4"/>
  <c r="R48" i="4"/>
  <c r="R84" i="4" s="1"/>
  <c r="R86" i="4" s="1"/>
  <c r="R101" i="4" s="1"/>
  <c r="R35" i="4"/>
  <c r="R52" i="4" s="1"/>
  <c r="S33" i="4"/>
  <c r="S35" i="4" s="1"/>
  <c r="U62" i="4"/>
  <c r="AJ14" i="4" l="1"/>
  <c r="AI18" i="4"/>
  <c r="AI26" i="4" s="1"/>
  <c r="AC81" i="4"/>
  <c r="AB85" i="4"/>
  <c r="AQ34" i="4"/>
  <c r="R50" i="4"/>
  <c r="R75" i="4"/>
  <c r="Z69" i="4"/>
  <c r="Y76" i="4"/>
  <c r="AA68" i="4"/>
  <c r="R77" i="4"/>
  <c r="R100" i="4" s="1"/>
  <c r="R102" i="4" s="1"/>
  <c r="V62" i="4"/>
  <c r="S48" i="4"/>
  <c r="S84" i="4" s="1"/>
  <c r="AK14" i="4" l="1"/>
  <c r="AJ18" i="4"/>
  <c r="AJ26" i="4" s="1"/>
  <c r="S86" i="4"/>
  <c r="S101" i="4" s="1"/>
  <c r="C84" i="4"/>
  <c r="C86" i="4" s="1"/>
  <c r="AD81" i="4"/>
  <c r="AC85" i="4"/>
  <c r="AQ49" i="4"/>
  <c r="E34" i="4"/>
  <c r="E49" i="4" s="1"/>
  <c r="S50" i="4"/>
  <c r="S75" i="4"/>
  <c r="AB68" i="4"/>
  <c r="AA69" i="4"/>
  <c r="Z76" i="4"/>
  <c r="S52" i="4"/>
  <c r="T33" i="4"/>
  <c r="T35" i="4" s="1"/>
  <c r="W62" i="4"/>
  <c r="AL14" i="4" l="1"/>
  <c r="AK18" i="4"/>
  <c r="AK26" i="4" s="1"/>
  <c r="AE81" i="4"/>
  <c r="AD85" i="4"/>
  <c r="C13" i="3"/>
  <c r="C101" i="4"/>
  <c r="AR34" i="4"/>
  <c r="AB69" i="4"/>
  <c r="AA76" i="4"/>
  <c r="AC68" i="4"/>
  <c r="C50" i="4"/>
  <c r="C52" i="4" s="1"/>
  <c r="C75" i="4"/>
  <c r="C77" i="4" s="1"/>
  <c r="S77" i="4"/>
  <c r="S100" i="4" s="1"/>
  <c r="C100" i="4" s="1"/>
  <c r="C102" i="4" s="1"/>
  <c r="C104" i="4" s="1"/>
  <c r="T48" i="4"/>
  <c r="T84" i="4" s="1"/>
  <c r="X62" i="4"/>
  <c r="AM14" i="4" l="1"/>
  <c r="AL18" i="4"/>
  <c r="AL26" i="4" s="1"/>
  <c r="T86" i="4"/>
  <c r="T101" i="4" s="1"/>
  <c r="S102" i="4"/>
  <c r="AF81" i="4"/>
  <c r="AE85" i="4"/>
  <c r="D85" i="4" s="1"/>
  <c r="D81" i="4"/>
  <c r="AR49" i="4"/>
  <c r="F34" i="4"/>
  <c r="F49" i="4" s="1"/>
  <c r="T50" i="4"/>
  <c r="T75" i="4"/>
  <c r="AD68" i="4"/>
  <c r="AC69" i="4"/>
  <c r="AB76" i="4"/>
  <c r="T52" i="4"/>
  <c r="C12" i="3"/>
  <c r="Y62" i="4"/>
  <c r="U33" i="4"/>
  <c r="U35" i="4" s="1"/>
  <c r="T77" i="4"/>
  <c r="T100" i="4" s="1"/>
  <c r="T57" i="4"/>
  <c r="AN14" i="4" l="1"/>
  <c r="AM18" i="4"/>
  <c r="AM26" i="4" s="1"/>
  <c r="AG81" i="4"/>
  <c r="AF85" i="4"/>
  <c r="AS34" i="4"/>
  <c r="AS49" i="4" s="1"/>
  <c r="AD69" i="4"/>
  <c r="AC76" i="4"/>
  <c r="AE68" i="4"/>
  <c r="Z62" i="4"/>
  <c r="U48" i="4"/>
  <c r="U84" i="4" s="1"/>
  <c r="AO14" i="4" l="1"/>
  <c r="AN18" i="4"/>
  <c r="AN26" i="4" s="1"/>
  <c r="U86" i="4"/>
  <c r="U101" i="4" s="1"/>
  <c r="AH81" i="4"/>
  <c r="AG85" i="4"/>
  <c r="AT34" i="4"/>
  <c r="AT49" i="4" s="1"/>
  <c r="U50" i="4"/>
  <c r="U75" i="4"/>
  <c r="AF68" i="4"/>
  <c r="D68" i="4"/>
  <c r="AE69" i="4"/>
  <c r="AD76" i="4"/>
  <c r="U52" i="4"/>
  <c r="AA62" i="4"/>
  <c r="V33" i="4"/>
  <c r="V35" i="4" s="1"/>
  <c r="U77" i="4"/>
  <c r="U100" i="4" s="1"/>
  <c r="U57" i="4"/>
  <c r="AP14" i="4" l="1"/>
  <c r="AO18" i="4"/>
  <c r="AO26" i="4" s="1"/>
  <c r="AI81" i="4"/>
  <c r="AH85" i="4"/>
  <c r="AU34" i="4"/>
  <c r="AU49" i="4" s="1"/>
  <c r="AF69" i="4"/>
  <c r="AE76" i="4"/>
  <c r="D76" i="4" s="1"/>
  <c r="D69" i="4"/>
  <c r="AG68" i="4"/>
  <c r="V48" i="4"/>
  <c r="V84" i="4" s="1"/>
  <c r="AB62" i="4"/>
  <c r="AQ14" i="4" l="1"/>
  <c r="AP18" i="4"/>
  <c r="AP26" i="4" s="1"/>
  <c r="V86" i="4"/>
  <c r="V101" i="4" s="1"/>
  <c r="AJ81" i="4"/>
  <c r="AI85" i="4"/>
  <c r="AV34" i="4"/>
  <c r="AV49" i="4" s="1"/>
  <c r="V50" i="4"/>
  <c r="V75" i="4"/>
  <c r="AH68" i="4"/>
  <c r="AF76" i="4"/>
  <c r="AG69" i="4"/>
  <c r="V52" i="4"/>
  <c r="AC62" i="4"/>
  <c r="W33" i="4"/>
  <c r="W35" i="4" s="1"/>
  <c r="V77" i="4"/>
  <c r="V100" i="4" s="1"/>
  <c r="V57" i="4"/>
  <c r="AR14" i="4" l="1"/>
  <c r="AQ18" i="4"/>
  <c r="E14" i="4"/>
  <c r="AK81" i="4"/>
  <c r="AJ85" i="4"/>
  <c r="AW34" i="4"/>
  <c r="AW49" i="4" s="1"/>
  <c r="AG76" i="4"/>
  <c r="AH69" i="4"/>
  <c r="AI68" i="4"/>
  <c r="W48" i="4"/>
  <c r="W84" i="4" s="1"/>
  <c r="AD62" i="4"/>
  <c r="AQ26" i="4" l="1"/>
  <c r="E26" i="4" s="1"/>
  <c r="E18" i="4"/>
  <c r="AS14" i="4"/>
  <c r="AR18" i="4"/>
  <c r="F14" i="4"/>
  <c r="W86" i="4"/>
  <c r="W101" i="4" s="1"/>
  <c r="AL81" i="4"/>
  <c r="AK85" i="4"/>
  <c r="AX34" i="4"/>
  <c r="AX49" i="4" s="1"/>
  <c r="W50" i="4"/>
  <c r="W75" i="4"/>
  <c r="AJ68" i="4"/>
  <c r="AH76" i="4"/>
  <c r="AI69" i="4"/>
  <c r="W52" i="4"/>
  <c r="AE62" i="4"/>
  <c r="X33" i="4"/>
  <c r="X35" i="4" s="1"/>
  <c r="W77" i="4"/>
  <c r="W100" i="4" s="1"/>
  <c r="W57" i="4"/>
  <c r="AR26" i="4" l="1"/>
  <c r="F26" i="4" s="1"/>
  <c r="F18" i="4"/>
  <c r="AT14" i="4"/>
  <c r="AS18" i="4"/>
  <c r="AS26" i="4" s="1"/>
  <c r="AM81" i="4"/>
  <c r="AL85" i="4"/>
  <c r="AY34" i="4"/>
  <c r="AY49" i="4" s="1"/>
  <c r="AI76" i="4"/>
  <c r="AJ69" i="4"/>
  <c r="AK68" i="4"/>
  <c r="AF62" i="4"/>
  <c r="D62" i="4"/>
  <c r="X48" i="4"/>
  <c r="X84" i="4" s="1"/>
  <c r="AU14" i="4" l="1"/>
  <c r="AT18" i="4"/>
  <c r="AT26" i="4" s="1"/>
  <c r="X86" i="4"/>
  <c r="X101" i="4" s="1"/>
  <c r="AN81" i="4"/>
  <c r="AM85" i="4"/>
  <c r="AZ34" i="4"/>
  <c r="AZ49" i="4" s="1"/>
  <c r="X50" i="4"/>
  <c r="X75" i="4"/>
  <c r="AL68" i="4"/>
  <c r="AJ76" i="4"/>
  <c r="AK69" i="4"/>
  <c r="X52" i="4"/>
  <c r="Y33" i="4"/>
  <c r="Y35" i="4" s="1"/>
  <c r="X77" i="4"/>
  <c r="X100" i="4" s="1"/>
  <c r="X57" i="4"/>
  <c r="AG62" i="4"/>
  <c r="AV14" i="4" l="1"/>
  <c r="AU18" i="4"/>
  <c r="AU26" i="4" s="1"/>
  <c r="AO81" i="4"/>
  <c r="AN85" i="4"/>
  <c r="BA34" i="4"/>
  <c r="BA49" i="4" s="1"/>
  <c r="AK76" i="4"/>
  <c r="AL69" i="4"/>
  <c r="AM68" i="4"/>
  <c r="Y48" i="4"/>
  <c r="Y84" i="4" s="1"/>
  <c r="Y86" i="4" s="1"/>
  <c r="Y101" i="4" s="1"/>
  <c r="AH62" i="4"/>
  <c r="AW14" i="4" l="1"/>
  <c r="AV18" i="4"/>
  <c r="AV26" i="4" s="1"/>
  <c r="AP81" i="4"/>
  <c r="AO85" i="4"/>
  <c r="BB34" i="4"/>
  <c r="BB49" i="4" s="1"/>
  <c r="Y50" i="4"/>
  <c r="Y75" i="4"/>
  <c r="AN68" i="4"/>
  <c r="AL76" i="4"/>
  <c r="AM69" i="4"/>
  <c r="Y52" i="4"/>
  <c r="Z33" i="4"/>
  <c r="Z35" i="4" s="1"/>
  <c r="Y77" i="4"/>
  <c r="Y100" i="4" s="1"/>
  <c r="Y57" i="4"/>
  <c r="AI62" i="4"/>
  <c r="AX14" i="4" l="1"/>
  <c r="AW18" i="4"/>
  <c r="AW26" i="4" s="1"/>
  <c r="AQ81" i="4"/>
  <c r="AP85" i="4"/>
  <c r="BC34" i="4"/>
  <c r="BC49" i="4" s="1"/>
  <c r="AM76" i="4"/>
  <c r="AN69" i="4"/>
  <c r="AO68" i="4"/>
  <c r="AJ62" i="4"/>
  <c r="Z48" i="4"/>
  <c r="Z84" i="4" s="1"/>
  <c r="Z86" i="4" s="1"/>
  <c r="Z101" i="4" s="1"/>
  <c r="AY14" i="4" l="1"/>
  <c r="AX18" i="4"/>
  <c r="AX26" i="4" s="1"/>
  <c r="AR81" i="4"/>
  <c r="AQ85" i="4"/>
  <c r="E85" i="4" s="1"/>
  <c r="E81" i="4"/>
  <c r="Z50" i="4"/>
  <c r="Z75" i="4"/>
  <c r="AP68" i="4"/>
  <c r="AN76" i="4"/>
  <c r="AO69" i="4"/>
  <c r="Z52" i="4"/>
  <c r="AK62" i="4"/>
  <c r="AA33" i="4"/>
  <c r="AA35" i="4" s="1"/>
  <c r="Z77" i="4"/>
  <c r="Z100" i="4" s="1"/>
  <c r="Z57" i="4"/>
  <c r="AZ14" i="4" l="1"/>
  <c r="AY18" i="4"/>
  <c r="AY26" i="4" s="1"/>
  <c r="AS81" i="4"/>
  <c r="AR85" i="4"/>
  <c r="F85" i="4" s="1"/>
  <c r="F81" i="4"/>
  <c r="AO76" i="4"/>
  <c r="AP69" i="4"/>
  <c r="AQ68" i="4"/>
  <c r="AA48" i="4"/>
  <c r="AA84" i="4" s="1"/>
  <c r="AA86" i="4" s="1"/>
  <c r="AA101" i="4" s="1"/>
  <c r="AL62" i="4"/>
  <c r="BA14" i="4" l="1"/>
  <c r="AZ18" i="4"/>
  <c r="AZ26" i="4" s="1"/>
  <c r="AT81" i="4"/>
  <c r="AS85" i="4"/>
  <c r="AA50" i="4"/>
  <c r="AA75" i="4"/>
  <c r="AR68" i="4"/>
  <c r="E68" i="4"/>
  <c r="AQ69" i="4"/>
  <c r="AP76" i="4"/>
  <c r="AA52" i="4"/>
  <c r="AB33" i="4"/>
  <c r="AB35" i="4" s="1"/>
  <c r="AA77" i="4"/>
  <c r="AA100" i="4" s="1"/>
  <c r="AA57" i="4"/>
  <c r="AM62" i="4"/>
  <c r="BB14" i="4" l="1"/>
  <c r="BA18" i="4"/>
  <c r="BA26" i="4" s="1"/>
  <c r="AU81" i="4"/>
  <c r="AT85" i="4"/>
  <c r="AQ76" i="4"/>
  <c r="E76" i="4" s="1"/>
  <c r="AR69" i="4"/>
  <c r="E69" i="4"/>
  <c r="AS68" i="4"/>
  <c r="F68" i="4"/>
  <c r="AN62" i="4"/>
  <c r="AB48" i="4"/>
  <c r="AB84" i="4" s="1"/>
  <c r="AB86" i="4" s="1"/>
  <c r="AB101" i="4" s="1"/>
  <c r="BC14" i="4" l="1"/>
  <c r="BC18" i="4" s="1"/>
  <c r="BC26" i="4" s="1"/>
  <c r="BB18" i="4"/>
  <c r="BB26" i="4" s="1"/>
  <c r="AV81" i="4"/>
  <c r="AU85" i="4"/>
  <c r="AB50" i="4"/>
  <c r="AB75" i="4"/>
  <c r="AT68" i="4"/>
  <c r="AR76" i="4"/>
  <c r="F76" i="4" s="1"/>
  <c r="AS69" i="4"/>
  <c r="F69" i="4"/>
  <c r="AB52" i="4"/>
  <c r="AC33" i="4"/>
  <c r="AC35" i="4" s="1"/>
  <c r="AB77" i="4"/>
  <c r="AB100" i="4" s="1"/>
  <c r="AB57" i="4"/>
  <c r="AO62" i="4"/>
  <c r="AW81" i="4" l="1"/>
  <c r="AV85" i="4"/>
  <c r="AT69" i="4"/>
  <c r="AS76" i="4"/>
  <c r="AU68" i="4"/>
  <c r="AP62" i="4"/>
  <c r="AC48" i="4"/>
  <c r="AC84" i="4" s="1"/>
  <c r="AC86" i="4" s="1"/>
  <c r="AC101" i="4" s="1"/>
  <c r="AX81" i="4" l="1"/>
  <c r="AW85" i="4"/>
  <c r="AC50" i="4"/>
  <c r="AC75" i="4"/>
  <c r="AV68" i="4"/>
  <c r="AU69" i="4"/>
  <c r="AT76" i="4"/>
  <c r="AC52" i="4"/>
  <c r="AD33" i="4"/>
  <c r="AD35" i="4" s="1"/>
  <c r="AC77" i="4"/>
  <c r="AC100" i="4" s="1"/>
  <c r="AC57" i="4"/>
  <c r="AQ62" i="4"/>
  <c r="AR62" i="4" s="1"/>
  <c r="AY81" i="4" l="1"/>
  <c r="AX85" i="4"/>
  <c r="AV69" i="4"/>
  <c r="AU76" i="4"/>
  <c r="AW68" i="4"/>
  <c r="AS62" i="4"/>
  <c r="F62" i="4"/>
  <c r="AD48" i="4"/>
  <c r="AD84" i="4" s="1"/>
  <c r="AD86" i="4" s="1"/>
  <c r="AD101" i="4" s="1"/>
  <c r="E62" i="4"/>
  <c r="AZ81" i="4" l="1"/>
  <c r="AY85" i="4"/>
  <c r="AD50" i="4"/>
  <c r="AD75" i="4"/>
  <c r="AX68" i="4"/>
  <c r="AW69" i="4"/>
  <c r="AV76" i="4"/>
  <c r="AD52" i="4"/>
  <c r="AT62" i="4"/>
  <c r="AE33" i="4"/>
  <c r="AE35" i="4" s="1"/>
  <c r="AD77" i="4"/>
  <c r="AD100" i="4" s="1"/>
  <c r="AD57" i="4"/>
  <c r="BA81" i="4" l="1"/>
  <c r="AZ85" i="4"/>
  <c r="AX69" i="4"/>
  <c r="AW76" i="4"/>
  <c r="AY68" i="4"/>
  <c r="AU62" i="4"/>
  <c r="D33" i="4"/>
  <c r="AE48" i="4"/>
  <c r="AE84" i="4" s="1"/>
  <c r="AE86" i="4" l="1"/>
  <c r="AE101" i="4" s="1"/>
  <c r="D84" i="4"/>
  <c r="D86" i="4" s="1"/>
  <c r="BB81" i="4"/>
  <c r="BA85" i="4"/>
  <c r="D35" i="4"/>
  <c r="D48" i="4"/>
  <c r="AE50" i="4"/>
  <c r="AE75" i="4"/>
  <c r="AZ68" i="4"/>
  <c r="AY69" i="4"/>
  <c r="AX76" i="4"/>
  <c r="AE52" i="4"/>
  <c r="AV62" i="4"/>
  <c r="AF33" i="4"/>
  <c r="AF35" i="4" s="1"/>
  <c r="D50" i="4"/>
  <c r="AE57" i="4"/>
  <c r="BC81" i="4" l="1"/>
  <c r="BC85" i="4" s="1"/>
  <c r="BB85" i="4"/>
  <c r="D13" i="3"/>
  <c r="D101" i="4"/>
  <c r="D95" i="4"/>
  <c r="D52" i="4"/>
  <c r="AZ69" i="4"/>
  <c r="AY76" i="4"/>
  <c r="BA68" i="4"/>
  <c r="AW62" i="4"/>
  <c r="D75" i="4"/>
  <c r="D77" i="4" s="1"/>
  <c r="D12" i="3" s="1"/>
  <c r="AE77" i="4"/>
  <c r="AE100" i="4" s="1"/>
  <c r="D100" i="4" s="1"/>
  <c r="AF48" i="4"/>
  <c r="AF84" i="4" s="1"/>
  <c r="D57" i="4"/>
  <c r="AF86" i="4" l="1"/>
  <c r="AF101" i="4" s="1"/>
  <c r="AF50" i="4"/>
  <c r="AF75" i="4"/>
  <c r="BB68" i="4"/>
  <c r="BA69" i="4"/>
  <c r="AZ76" i="4"/>
  <c r="AF52" i="4"/>
  <c r="AX62" i="4"/>
  <c r="AG33" i="4"/>
  <c r="AG35" i="4" s="1"/>
  <c r="AF77" i="4"/>
  <c r="AF100" i="4" s="1"/>
  <c r="AF57" i="4"/>
  <c r="BB69" i="4" l="1"/>
  <c r="BA76" i="4"/>
  <c r="BC68" i="4"/>
  <c r="AY62" i="4"/>
  <c r="AG48" i="4"/>
  <c r="AG84" i="4" s="1"/>
  <c r="AG86" i="4" l="1"/>
  <c r="AG101" i="4" s="1"/>
  <c r="AG50" i="4"/>
  <c r="AG75" i="4"/>
  <c r="BC69" i="4"/>
  <c r="BC76" i="4" s="1"/>
  <c r="BB76" i="4"/>
  <c r="AG52" i="4"/>
  <c r="AZ62" i="4"/>
  <c r="AH33" i="4"/>
  <c r="AH35" i="4" s="1"/>
  <c r="AG57" i="4"/>
  <c r="AG77" i="4" l="1"/>
  <c r="AG100" i="4" s="1"/>
  <c r="BA62" i="4"/>
  <c r="AH48" i="4"/>
  <c r="AH84" i="4" s="1"/>
  <c r="AH86" i="4" l="1"/>
  <c r="AH101" i="4" s="1"/>
  <c r="AH50" i="4"/>
  <c r="AH75" i="4"/>
  <c r="AH52" i="4"/>
  <c r="BB62" i="4"/>
  <c r="AI33" i="4"/>
  <c r="AI35" i="4" s="1"/>
  <c r="AH57" i="4"/>
  <c r="AH77" i="4" l="1"/>
  <c r="AH100" i="4" s="1"/>
  <c r="BC62" i="4"/>
  <c r="AI48" i="4"/>
  <c r="AI84" i="4" s="1"/>
  <c r="AI86" i="4" l="1"/>
  <c r="AI101" i="4" s="1"/>
  <c r="AI50" i="4"/>
  <c r="AI75" i="4"/>
  <c r="AI52" i="4"/>
  <c r="AJ33" i="4"/>
  <c r="AJ35" i="4" s="1"/>
  <c r="AI57" i="4"/>
  <c r="AI77" i="4" l="1"/>
  <c r="AI100" i="4" s="1"/>
  <c r="AJ48" i="4"/>
  <c r="AJ84" i="4" s="1"/>
  <c r="AJ86" i="4" l="1"/>
  <c r="AJ101" i="4" s="1"/>
  <c r="AJ50" i="4"/>
  <c r="AJ75" i="4"/>
  <c r="AJ52" i="4"/>
  <c r="AK33" i="4"/>
  <c r="AK35" i="4" s="1"/>
  <c r="AJ57" i="4"/>
  <c r="AJ77" i="4" l="1"/>
  <c r="AJ100" i="4" s="1"/>
  <c r="AK48" i="4"/>
  <c r="AK84" i="4" s="1"/>
  <c r="AK86" i="4" s="1"/>
  <c r="AK101" i="4" s="1"/>
  <c r="AK50" i="4" l="1"/>
  <c r="AK75" i="4"/>
  <c r="AK52" i="4"/>
  <c r="AL33" i="4"/>
  <c r="AL35" i="4" s="1"/>
  <c r="AK57" i="4"/>
  <c r="AK77" i="4" l="1"/>
  <c r="AK100" i="4" s="1"/>
  <c r="AL48" i="4"/>
  <c r="AL84" i="4" s="1"/>
  <c r="AL86" i="4" s="1"/>
  <c r="AL101" i="4" s="1"/>
  <c r="AL50" i="4" l="1"/>
  <c r="AL75" i="4"/>
  <c r="AL52" i="4"/>
  <c r="AM33" i="4"/>
  <c r="AM35" i="4" s="1"/>
  <c r="AL77" i="4"/>
  <c r="AL100" i="4" s="1"/>
  <c r="AL57" i="4"/>
  <c r="AM48" i="4" l="1"/>
  <c r="AM84" i="4" s="1"/>
  <c r="AM86" i="4" s="1"/>
  <c r="AM101" i="4" s="1"/>
  <c r="AM50" i="4" l="1"/>
  <c r="AM75" i="4"/>
  <c r="AM52" i="4"/>
  <c r="AN33" i="4"/>
  <c r="AN35" i="4" s="1"/>
  <c r="AM77" i="4"/>
  <c r="AM100" i="4" s="1"/>
  <c r="AM57" i="4"/>
  <c r="AN48" i="4" l="1"/>
  <c r="AN84" i="4" s="1"/>
  <c r="AN86" i="4" s="1"/>
  <c r="AN101" i="4" s="1"/>
  <c r="AN50" i="4" l="1"/>
  <c r="AN75" i="4"/>
  <c r="AN52" i="4"/>
  <c r="AO33" i="4"/>
  <c r="AO35" i="4" s="1"/>
  <c r="AN77" i="4"/>
  <c r="AN100" i="4" s="1"/>
  <c r="AN57" i="4"/>
  <c r="AO48" i="4" l="1"/>
  <c r="AO84" i="4" s="1"/>
  <c r="AO86" i="4" s="1"/>
  <c r="AO101" i="4" s="1"/>
  <c r="AO50" i="4" l="1"/>
  <c r="AO75" i="4"/>
  <c r="AO52" i="4"/>
  <c r="AP33" i="4"/>
  <c r="AP35" i="4" s="1"/>
  <c r="AO77" i="4"/>
  <c r="AO100" i="4" s="1"/>
  <c r="AO57" i="4"/>
  <c r="AP48" i="4" l="1"/>
  <c r="AP84" i="4" s="1"/>
  <c r="AP86" i="4" s="1"/>
  <c r="AP101" i="4" s="1"/>
  <c r="AP50" i="4" l="1"/>
  <c r="AP75" i="4"/>
  <c r="AP52" i="4"/>
  <c r="AQ33" i="4"/>
  <c r="AQ35" i="4" s="1"/>
  <c r="AP77" i="4"/>
  <c r="AP100" i="4" s="1"/>
  <c r="AP57" i="4"/>
  <c r="E33" i="4" l="1"/>
  <c r="AQ48" i="4"/>
  <c r="AQ84" i="4" s="1"/>
  <c r="AQ86" i="4" l="1"/>
  <c r="AQ101" i="4" s="1"/>
  <c r="E84" i="4"/>
  <c r="E86" i="4" s="1"/>
  <c r="E35" i="4"/>
  <c r="E48" i="4"/>
  <c r="AQ52" i="4"/>
  <c r="AQ75" i="4"/>
  <c r="AQ50" i="4"/>
  <c r="AR33" i="4"/>
  <c r="E50" i="4"/>
  <c r="AQ57" i="4"/>
  <c r="E13" i="3" l="1"/>
  <c r="E101" i="4"/>
  <c r="E95" i="4"/>
  <c r="E52" i="4"/>
  <c r="AR35" i="4"/>
  <c r="AR48" i="4"/>
  <c r="F33" i="4"/>
  <c r="E75" i="4"/>
  <c r="E77" i="4" s="1"/>
  <c r="E12" i="3" s="1"/>
  <c r="AQ77" i="4"/>
  <c r="AQ100" i="4" s="1"/>
  <c r="E100" i="4" s="1"/>
  <c r="E57" i="4"/>
  <c r="AR75" i="4" l="1"/>
  <c r="AR84" i="4"/>
  <c r="F35" i="4"/>
  <c r="F48" i="4"/>
  <c r="AR52" i="4"/>
  <c r="AS33" i="4"/>
  <c r="AR50" i="4"/>
  <c r="F50" i="4"/>
  <c r="AR57" i="4"/>
  <c r="F95" i="4" l="1"/>
  <c r="AR86" i="4"/>
  <c r="AR101" i="4" s="1"/>
  <c r="F84" i="4"/>
  <c r="F86" i="4" s="1"/>
  <c r="F52" i="4"/>
  <c r="F57" i="4"/>
  <c r="AR77" i="4"/>
  <c r="AR100" i="4" s="1"/>
  <c r="F100" i="4" s="1"/>
  <c r="F75" i="4"/>
  <c r="F77" i="4" s="1"/>
  <c r="F12" i="3" s="1"/>
  <c r="AS35" i="4"/>
  <c r="AS48" i="4"/>
  <c r="F101" i="4" l="1"/>
  <c r="F13" i="3"/>
  <c r="AS75" i="4"/>
  <c r="AS84" i="4"/>
  <c r="AS86" i="4" s="1"/>
  <c r="AS101" i="4" s="1"/>
  <c r="AS52" i="4"/>
  <c r="AT33" i="4"/>
  <c r="AS50" i="4"/>
  <c r="AS77" i="4"/>
  <c r="AS100" i="4" s="1"/>
  <c r="AS57" i="4"/>
  <c r="AT35" i="4" l="1"/>
  <c r="AT48" i="4"/>
  <c r="AT75" i="4" l="1"/>
  <c r="AT84" i="4"/>
  <c r="AT86" i="4" s="1"/>
  <c r="AT101" i="4" s="1"/>
  <c r="AT52" i="4"/>
  <c r="AU33" i="4"/>
  <c r="AT50" i="4"/>
  <c r="AT77" i="4"/>
  <c r="AT100" i="4" s="1"/>
  <c r="AT57" i="4"/>
  <c r="AU35" i="4" l="1"/>
  <c r="AU48" i="4"/>
  <c r="AU75" i="4" l="1"/>
  <c r="AU84" i="4"/>
  <c r="AU86" i="4" s="1"/>
  <c r="AU101" i="4" s="1"/>
  <c r="AU52" i="4"/>
  <c r="AV33" i="4"/>
  <c r="AU50" i="4"/>
  <c r="AU77" i="4"/>
  <c r="AU100" i="4" s="1"/>
  <c r="AU57" i="4"/>
  <c r="AV35" i="4" l="1"/>
  <c r="AV48" i="4"/>
  <c r="AV75" i="4" l="1"/>
  <c r="AV84" i="4"/>
  <c r="AV86" i="4" s="1"/>
  <c r="AV101" i="4" s="1"/>
  <c r="AV52" i="4"/>
  <c r="AW33" i="4"/>
  <c r="AV50" i="4"/>
  <c r="AV77" i="4"/>
  <c r="AV100" i="4" s="1"/>
  <c r="AV57" i="4"/>
  <c r="AW35" i="4" l="1"/>
  <c r="AW48" i="4"/>
  <c r="AW75" i="4" l="1"/>
  <c r="AW84" i="4"/>
  <c r="AW86" i="4" s="1"/>
  <c r="AW101" i="4" s="1"/>
  <c r="AW52" i="4"/>
  <c r="AX33" i="4"/>
  <c r="AW50" i="4"/>
  <c r="AW77" i="4"/>
  <c r="AW100" i="4" s="1"/>
  <c r="AW57" i="4"/>
  <c r="AX35" i="4" l="1"/>
  <c r="AX48" i="4"/>
  <c r="AX75" i="4" l="1"/>
  <c r="AX84" i="4"/>
  <c r="AX86" i="4" s="1"/>
  <c r="AX101" i="4" s="1"/>
  <c r="AX52" i="4"/>
  <c r="AY33" i="4"/>
  <c r="AX50" i="4"/>
  <c r="AX77" i="4"/>
  <c r="AX100" i="4" s="1"/>
  <c r="AX57" i="4"/>
  <c r="AY35" i="4" l="1"/>
  <c r="AY48" i="4"/>
  <c r="AY75" i="4" l="1"/>
  <c r="AY84" i="4"/>
  <c r="AY86" i="4" s="1"/>
  <c r="AY101" i="4" s="1"/>
  <c r="AY52" i="4"/>
  <c r="AZ33" i="4"/>
  <c r="AY50" i="4"/>
  <c r="AY77" i="4"/>
  <c r="AY100" i="4" s="1"/>
  <c r="AY57" i="4"/>
  <c r="AZ35" i="4" l="1"/>
  <c r="AZ48" i="4"/>
  <c r="AZ75" i="4" l="1"/>
  <c r="AZ84" i="4"/>
  <c r="AZ86" i="4" s="1"/>
  <c r="AZ101" i="4" s="1"/>
  <c r="AZ52" i="4"/>
  <c r="BA33" i="4"/>
  <c r="AZ50" i="4"/>
  <c r="AZ77" i="4"/>
  <c r="AZ100" i="4" s="1"/>
  <c r="AZ57" i="4"/>
  <c r="BA35" i="4" l="1"/>
  <c r="BA48" i="4"/>
  <c r="BA75" i="4" l="1"/>
  <c r="BA84" i="4"/>
  <c r="BA86" i="4" s="1"/>
  <c r="BA101" i="4" s="1"/>
  <c r="BA52" i="4"/>
  <c r="BB33" i="4"/>
  <c r="BA50" i="4"/>
  <c r="BA77" i="4"/>
  <c r="BA100" i="4" s="1"/>
  <c r="BA57" i="4"/>
  <c r="BB35" i="4" l="1"/>
  <c r="BB48" i="4"/>
  <c r="BB75" i="4" l="1"/>
  <c r="BB84" i="4"/>
  <c r="BB86" i="4" s="1"/>
  <c r="BB101" i="4" s="1"/>
  <c r="BB52" i="4"/>
  <c r="BC33" i="4"/>
  <c r="BB50" i="4"/>
  <c r="BB77" i="4"/>
  <c r="BB100" i="4" s="1"/>
  <c r="BB57" i="4"/>
  <c r="BC35" i="4" l="1"/>
  <c r="BC48" i="4"/>
  <c r="BC75" i="4" l="1"/>
  <c r="BC84" i="4"/>
  <c r="BC86" i="4" s="1"/>
  <c r="BC101" i="4" s="1"/>
  <c r="BC52" i="4"/>
  <c r="BC50" i="4"/>
  <c r="BC77" i="4"/>
  <c r="BC100" i="4" s="1"/>
  <c r="BC57" i="4"/>
  <c r="M63" i="4"/>
  <c r="N63" i="4" s="1"/>
  <c r="O63" i="4" l="1"/>
  <c r="N59" i="4"/>
  <c r="C57" i="4"/>
  <c r="P63" i="4" l="1"/>
  <c r="O59" i="4" l="1"/>
  <c r="Q63" i="4"/>
  <c r="P59" i="4"/>
  <c r="Q59" i="4" l="1"/>
  <c r="R63" i="4"/>
  <c r="S63" i="4" l="1"/>
  <c r="C63" i="4"/>
  <c r="R59" i="4" l="1"/>
  <c r="T63" i="4"/>
  <c r="S59" i="4"/>
  <c r="C107" i="4" s="1"/>
  <c r="U63" i="4" l="1"/>
  <c r="T58" i="4"/>
  <c r="T97" i="4" s="1"/>
  <c r="C58" i="4"/>
  <c r="T102" i="4" l="1"/>
  <c r="T107" i="4"/>
  <c r="C59" i="4"/>
  <c r="C10" i="3" s="1"/>
  <c r="C14" i="3" s="1"/>
  <c r="T59" i="4"/>
  <c r="V63" i="4"/>
  <c r="U58" i="4"/>
  <c r="C34" i="3" l="1"/>
  <c r="C27" i="3"/>
  <c r="C54" i="3" s="1"/>
  <c r="C30" i="3"/>
  <c r="U59" i="4"/>
  <c r="U97" i="4"/>
  <c r="W63" i="4"/>
  <c r="V58" i="4"/>
  <c r="U102" i="4" l="1"/>
  <c r="U107" i="4"/>
  <c r="C55" i="3"/>
  <c r="V59" i="4"/>
  <c r="V97" i="4"/>
  <c r="X63" i="4"/>
  <c r="W58" i="4"/>
  <c r="W97" i="4" s="1"/>
  <c r="W102" i="4" l="1"/>
  <c r="W107" i="4"/>
  <c r="V102" i="4"/>
  <c r="V107" i="4"/>
  <c r="D54" i="3"/>
  <c r="C56" i="3"/>
  <c r="W59" i="4"/>
  <c r="Y63" i="4"/>
  <c r="X58" i="4"/>
  <c r="E54" i="3" l="1"/>
  <c r="X59" i="4"/>
  <c r="X97" i="4"/>
  <c r="Z63" i="4"/>
  <c r="Y58" i="4"/>
  <c r="X102" i="4" l="1"/>
  <c r="X107" i="4"/>
  <c r="F54" i="3"/>
  <c r="Y59" i="4"/>
  <c r="Y97" i="4"/>
  <c r="Z58" i="4"/>
  <c r="Z97" i="4" s="1"/>
  <c r="AA63" i="4"/>
  <c r="Z102" i="4" l="1"/>
  <c r="Z107" i="4"/>
  <c r="Y102" i="4"/>
  <c r="Y107" i="4"/>
  <c r="AA58" i="4"/>
  <c r="AB63" i="4"/>
  <c r="Z59" i="4"/>
  <c r="AA59" i="4" l="1"/>
  <c r="AA97" i="4"/>
  <c r="AB58" i="4"/>
  <c r="AC63" i="4"/>
  <c r="AA102" i="4" l="1"/>
  <c r="AA107" i="4"/>
  <c r="AB59" i="4"/>
  <c r="AB97" i="4"/>
  <c r="AC58" i="4"/>
  <c r="AD63" i="4"/>
  <c r="AB102" i="4" l="1"/>
  <c r="AB107" i="4"/>
  <c r="AC59" i="4"/>
  <c r="AC97" i="4"/>
  <c r="AD58" i="4"/>
  <c r="AE63" i="4"/>
  <c r="AC102" i="4" l="1"/>
  <c r="AC107" i="4"/>
  <c r="AD59" i="4"/>
  <c r="AD97" i="4"/>
  <c r="AE58" i="4"/>
  <c r="AF63" i="4"/>
  <c r="D63" i="4"/>
  <c r="AD102" i="4" l="1"/>
  <c r="AD107" i="4"/>
  <c r="D96" i="4"/>
  <c r="D97" i="4" s="1"/>
  <c r="AE97" i="4"/>
  <c r="AF58" i="4"/>
  <c r="AF97" i="4" s="1"/>
  <c r="AG63" i="4"/>
  <c r="AE59" i="4"/>
  <c r="D58" i="4"/>
  <c r="AF102" i="4" l="1"/>
  <c r="AF107" i="4"/>
  <c r="AE102" i="4"/>
  <c r="AE107" i="4"/>
  <c r="D107" i="4" s="1"/>
  <c r="D102" i="4"/>
  <c r="D104" i="4" s="1"/>
  <c r="D9" i="3"/>
  <c r="D59" i="4"/>
  <c r="D10" i="3" s="1"/>
  <c r="AH63" i="4"/>
  <c r="AG58" i="4"/>
  <c r="AG97" i="4" s="1"/>
  <c r="AF59" i="4"/>
  <c r="AG102" i="4" l="1"/>
  <c r="AG107" i="4"/>
  <c r="D14" i="3"/>
  <c r="AG59" i="4"/>
  <c r="AI63" i="4"/>
  <c r="AH58" i="4"/>
  <c r="AH97" i="4" s="1"/>
  <c r="AH102" i="4" l="1"/>
  <c r="AH107" i="4"/>
  <c r="D34" i="3"/>
  <c r="D27" i="3"/>
  <c r="D30" i="3"/>
  <c r="AH59" i="4"/>
  <c r="AJ63" i="4"/>
  <c r="AI58" i="4"/>
  <c r="D55" i="3" l="1"/>
  <c r="D72" i="3"/>
  <c r="D56" i="3"/>
  <c r="D31" i="3"/>
  <c r="AI59" i="4"/>
  <c r="AI97" i="4"/>
  <c r="AK63" i="4"/>
  <c r="AJ58" i="4"/>
  <c r="AJ97" i="4" s="1"/>
  <c r="AJ102" i="4" l="1"/>
  <c r="AJ107" i="4"/>
  <c r="AI102" i="4"/>
  <c r="AI107" i="4"/>
  <c r="AJ59" i="4"/>
  <c r="AL63" i="4"/>
  <c r="AK58" i="4"/>
  <c r="AK97" i="4" s="1"/>
  <c r="AK102" i="4" l="1"/>
  <c r="AK107" i="4"/>
  <c r="AK59" i="4"/>
  <c r="AM63" i="4"/>
  <c r="AL58" i="4"/>
  <c r="AL59" i="4" l="1"/>
  <c r="AL97" i="4"/>
  <c r="AN63" i="4"/>
  <c r="AM58" i="4"/>
  <c r="AM97" i="4" s="1"/>
  <c r="AM102" i="4" l="1"/>
  <c r="AM107" i="4"/>
  <c r="AL102" i="4"/>
  <c r="AL107" i="4"/>
  <c r="AM59" i="4"/>
  <c r="AO63" i="4"/>
  <c r="AN58" i="4"/>
  <c r="AN59" i="4" l="1"/>
  <c r="AN97" i="4"/>
  <c r="AP63" i="4"/>
  <c r="AO58" i="4"/>
  <c r="AN102" i="4" l="1"/>
  <c r="AN107" i="4"/>
  <c r="AO59" i="4"/>
  <c r="AO97" i="4"/>
  <c r="AQ63" i="4"/>
  <c r="AP58" i="4"/>
  <c r="AO102" i="4" l="1"/>
  <c r="AO107" i="4"/>
  <c r="AP59" i="4"/>
  <c r="AP97" i="4"/>
  <c r="AR63" i="4"/>
  <c r="AQ58" i="4"/>
  <c r="E63" i="4"/>
  <c r="AP102" i="4" l="1"/>
  <c r="AP107" i="4"/>
  <c r="E96" i="4"/>
  <c r="E97" i="4" s="1"/>
  <c r="AQ97" i="4"/>
  <c r="AQ59" i="4"/>
  <c r="E58" i="4"/>
  <c r="AS63" i="4"/>
  <c r="AR58" i="4"/>
  <c r="F63" i="4"/>
  <c r="AQ102" i="4" l="1"/>
  <c r="AQ107" i="4"/>
  <c r="E107" i="4" s="1"/>
  <c r="E102" i="4"/>
  <c r="E104" i="4" s="1"/>
  <c r="E9" i="3"/>
  <c r="F96" i="4"/>
  <c r="F97" i="4" s="1"/>
  <c r="AR97" i="4"/>
  <c r="E59" i="4"/>
  <c r="E10" i="3" s="1"/>
  <c r="AR59" i="4"/>
  <c r="F58" i="4"/>
  <c r="AT63" i="4"/>
  <c r="AS58" i="4"/>
  <c r="AR102" i="4" l="1"/>
  <c r="AR107" i="4"/>
  <c r="F107" i="4" s="1"/>
  <c r="F102" i="4"/>
  <c r="F104" i="4" s="1"/>
  <c r="F9" i="3"/>
  <c r="F10" i="3" s="1"/>
  <c r="F14" i="3" s="1"/>
  <c r="E14" i="3"/>
  <c r="AS59" i="4"/>
  <c r="AS97" i="4"/>
  <c r="F59" i="4"/>
  <c r="F30" i="3"/>
  <c r="AU63" i="4"/>
  <c r="AT58" i="4"/>
  <c r="AS102" i="4" l="1"/>
  <c r="AS107" i="4"/>
  <c r="F34" i="3"/>
  <c r="F27" i="3"/>
  <c r="F72" i="3" s="1"/>
  <c r="F76" i="3" s="1"/>
  <c r="E34" i="3"/>
  <c r="E27" i="3"/>
  <c r="E30" i="3"/>
  <c r="AT59" i="4"/>
  <c r="AT97" i="4"/>
  <c r="AV63" i="4"/>
  <c r="AU58" i="4"/>
  <c r="F31" i="3"/>
  <c r="AT102" i="4" l="1"/>
  <c r="AT107" i="4"/>
  <c r="F87" i="3"/>
  <c r="F90" i="3" s="1"/>
  <c r="F6" i="5"/>
  <c r="E55" i="3"/>
  <c r="E72" i="3"/>
  <c r="E76" i="3" s="1"/>
  <c r="F55" i="3"/>
  <c r="F56" i="3" s="1"/>
  <c r="E56" i="3"/>
  <c r="E31" i="3"/>
  <c r="AU59" i="4"/>
  <c r="AU97" i="4"/>
  <c r="AW63" i="4"/>
  <c r="AV58" i="4"/>
  <c r="AU102" i="4" l="1"/>
  <c r="AU107" i="4"/>
  <c r="G6" i="5"/>
  <c r="G11" i="5" s="1"/>
  <c r="F11" i="5"/>
  <c r="E87" i="3"/>
  <c r="E90" i="3" s="1"/>
  <c r="E6" i="5"/>
  <c r="E11" i="5" s="1"/>
  <c r="D76" i="3"/>
  <c r="AV59" i="4"/>
  <c r="AV97" i="4"/>
  <c r="AX63" i="4"/>
  <c r="AW58" i="4"/>
  <c r="AV102" i="4" l="1"/>
  <c r="AV107" i="4"/>
  <c r="D87" i="3"/>
  <c r="D90" i="3" s="1"/>
  <c r="D6" i="5"/>
  <c r="D11" i="5" s="1"/>
  <c r="C14" i="5" s="1"/>
  <c r="C16" i="5" s="1"/>
  <c r="C21" i="5" s="1"/>
  <c r="C27" i="5" s="1"/>
  <c r="C30" i="5" s="1"/>
  <c r="AW59" i="4"/>
  <c r="AW97" i="4"/>
  <c r="AY63" i="4"/>
  <c r="AX58" i="4"/>
  <c r="AW102" i="4" l="1"/>
  <c r="AW107" i="4"/>
  <c r="AX59" i="4"/>
  <c r="AX97" i="4"/>
  <c r="AZ63" i="4"/>
  <c r="AY58" i="4"/>
  <c r="AX102" i="4" l="1"/>
  <c r="AX107" i="4"/>
  <c r="AY59" i="4"/>
  <c r="AY97" i="4"/>
  <c r="BA63" i="4"/>
  <c r="AZ58" i="4"/>
  <c r="AY102" i="4" l="1"/>
  <c r="AY107" i="4"/>
  <c r="AZ59" i="4"/>
  <c r="AZ97" i="4"/>
  <c r="BB63" i="4"/>
  <c r="BA58" i="4"/>
  <c r="AZ102" i="4" l="1"/>
  <c r="AZ107" i="4"/>
  <c r="BA59" i="4"/>
  <c r="BA97" i="4"/>
  <c r="BC63" i="4"/>
  <c r="BC58" i="4" s="1"/>
  <c r="BB58" i="4"/>
  <c r="BA102" i="4" l="1"/>
  <c r="BA107" i="4"/>
  <c r="BB59" i="4"/>
  <c r="BB97" i="4"/>
  <c r="BC59" i="4"/>
  <c r="BC97" i="4"/>
  <c r="BC102" i="4" l="1"/>
  <c r="BC107" i="4"/>
  <c r="BB102" i="4"/>
  <c r="BB107" i="4"/>
  <c r="C72" i="3"/>
  <c r="C76" i="3" s="1"/>
  <c r="C31" i="3"/>
  <c r="C87" i="3" l="1"/>
  <c r="C90" i="3" s="1"/>
  <c r="C91" i="3" s="1"/>
  <c r="C6" i="5"/>
  <c r="D89" i="3"/>
  <c r="D91" i="3" s="1"/>
  <c r="C39" i="3"/>
  <c r="C46" i="3" l="1"/>
  <c r="C51" i="3" s="1"/>
  <c r="C58" i="3" s="1"/>
  <c r="C6" i="3"/>
  <c r="E89" i="3"/>
  <c r="E91" i="3" s="1"/>
  <c r="D39" i="3"/>
  <c r="D46" i="3" l="1"/>
  <c r="D51" i="3" s="1"/>
  <c r="D58" i="3" s="1"/>
  <c r="D6" i="3"/>
  <c r="F89" i="3"/>
  <c r="F91" i="3" s="1"/>
  <c r="F39" i="3" s="1"/>
  <c r="E39" i="3"/>
  <c r="E46" i="3" l="1"/>
  <c r="E51" i="3" s="1"/>
  <c r="E58" i="3" s="1"/>
  <c r="E6" i="3"/>
  <c r="F46" i="3"/>
  <c r="F51" i="3" s="1"/>
  <c r="F58" i="3" s="1"/>
  <c r="F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3" authorId="0" shapeId="0" xr:uid="{93777424-F1E0-48AD-80E3-F25FCD3F4CE7}">
      <text>
        <r>
          <rPr>
            <b/>
            <sz val="9"/>
            <color indexed="81"/>
            <rFont val="Tahoma"/>
            <family val="2"/>
          </rPr>
          <t>Per bitinfocharts.com</t>
        </r>
      </text>
    </comment>
  </commentList>
</comments>
</file>

<file path=xl/sharedStrings.xml><?xml version="1.0" encoding="utf-8"?>
<sst xmlns="http://schemas.openxmlformats.org/spreadsheetml/2006/main" count="248" uniqueCount="152">
  <si>
    <t>Assumptions</t>
  </si>
  <si>
    <t>USD in $000</t>
  </si>
  <si>
    <t>Forecast</t>
  </si>
  <si>
    <t>Revenue</t>
  </si>
  <si>
    <t>Mining</t>
  </si>
  <si>
    <t>Cost of Sales</t>
  </si>
  <si>
    <t>Total revenue</t>
  </si>
  <si>
    <t>Administration expenses</t>
  </si>
  <si>
    <t>Depreciation</t>
  </si>
  <si>
    <t>Hosting</t>
  </si>
  <si>
    <t>Period ending</t>
  </si>
  <si>
    <t>Actual</t>
  </si>
  <si>
    <t>Bitmain Z11</t>
  </si>
  <si>
    <t>Bitmain S17</t>
  </si>
  <si>
    <t>No. of Miners (opening)</t>
  </si>
  <si>
    <t>Additions</t>
  </si>
  <si>
    <t>Disposals</t>
  </si>
  <si>
    <t>No. of Miners (closing)</t>
  </si>
  <si>
    <t>Check</t>
  </si>
  <si>
    <t>Bitmain Z11 (BTC/unit/month)</t>
  </si>
  <si>
    <t>Bitmain S17 (BTC/unit/month)</t>
  </si>
  <si>
    <t>Total BTC production</t>
  </si>
  <si>
    <t>Power consumption</t>
  </si>
  <si>
    <t>FY19</t>
  </si>
  <si>
    <t>FY20F</t>
  </si>
  <si>
    <t>FY21F</t>
  </si>
  <si>
    <t>Power consumption (USD in $000s)</t>
  </si>
  <si>
    <t>Power</t>
  </si>
  <si>
    <t>Salaries and wages</t>
  </si>
  <si>
    <t>Director expenses</t>
  </si>
  <si>
    <t>Legal/professional fees</t>
  </si>
  <si>
    <t>Consulting</t>
  </si>
  <si>
    <t>Travel</t>
  </si>
  <si>
    <t>Other</t>
  </si>
  <si>
    <t>Gross margin</t>
  </si>
  <si>
    <t>Administrative expenses</t>
  </si>
  <si>
    <t>Total expenses</t>
  </si>
  <si>
    <t>Operating expenses</t>
  </si>
  <si>
    <t>EBIT</t>
  </si>
  <si>
    <t>Summary P&amp;L</t>
  </si>
  <si>
    <t>GM%</t>
  </si>
  <si>
    <t>EBIT%</t>
  </si>
  <si>
    <t>KPIs</t>
  </si>
  <si>
    <t>$USD/BTC</t>
  </si>
  <si>
    <t>Summary Balance Sheet</t>
  </si>
  <si>
    <t>Cash</t>
  </si>
  <si>
    <t>Non-current assets</t>
  </si>
  <si>
    <t>Current assets</t>
  </si>
  <si>
    <t>Current liabilities</t>
  </si>
  <si>
    <t>Accounts payable</t>
  </si>
  <si>
    <t>Mining hardware</t>
  </si>
  <si>
    <t>Intangible assets</t>
  </si>
  <si>
    <t>Capex</t>
  </si>
  <si>
    <t>Depreciation rate</t>
  </si>
  <si>
    <t>DV</t>
  </si>
  <si>
    <t>PPE Schedule</t>
  </si>
  <si>
    <t>Opening</t>
  </si>
  <si>
    <t>Closing</t>
  </si>
  <si>
    <t>Mining Hardware</t>
  </si>
  <si>
    <t>Closing cash balance</t>
  </si>
  <si>
    <t>Movement in WC</t>
  </si>
  <si>
    <t>Opening cash balance</t>
  </si>
  <si>
    <t>Cashflow Summary</t>
  </si>
  <si>
    <t>FY19A</t>
  </si>
  <si>
    <t>FY22F</t>
  </si>
  <si>
    <t>Total (closing)</t>
  </si>
  <si>
    <t>Total (opening)</t>
  </si>
  <si>
    <t>Total (additions)</t>
  </si>
  <si>
    <t>Total (disposals)</t>
  </si>
  <si>
    <t>No. units</t>
  </si>
  <si>
    <t>Mining Difficulty</t>
  </si>
  <si>
    <t>Difficulty increases</t>
  </si>
  <si>
    <t>n.a</t>
  </si>
  <si>
    <t>Miner Productivity (BTC/unit/month)</t>
  </si>
  <si>
    <t>Mining Production (BTC)</t>
  </si>
  <si>
    <t>Power price/kWh</t>
  </si>
  <si>
    <t>Power consumption/unit (kWh)</t>
  </si>
  <si>
    <t>Canada</t>
  </si>
  <si>
    <t>Power Costs</t>
  </si>
  <si>
    <t>Bitcoin price (USD$/BTC)</t>
  </si>
  <si>
    <t>Avg BTC price ($USD)</t>
  </si>
  <si>
    <t>Power costs</t>
  </si>
  <si>
    <t>Hosting costs</t>
  </si>
  <si>
    <t>Mining Margin</t>
  </si>
  <si>
    <t>Direct costs</t>
  </si>
  <si>
    <t>Hosting costs ($USD in 000s)</t>
  </si>
  <si>
    <t>Cost/miner/month ($USD)</t>
  </si>
  <si>
    <t>Net mining margin</t>
  </si>
  <si>
    <t>Check (revenue)</t>
  </si>
  <si>
    <t>Net mining margin (%)</t>
  </si>
  <si>
    <t>USD in 000s</t>
  </si>
  <si>
    <t>Audit fees</t>
  </si>
  <si>
    <t>Check (GM)</t>
  </si>
  <si>
    <t>Cashflow from operations</t>
  </si>
  <si>
    <t>Operating</t>
  </si>
  <si>
    <t>Investing</t>
  </si>
  <si>
    <t>Financing</t>
  </si>
  <si>
    <t>Cashflows from investing</t>
  </si>
  <si>
    <t>Dividends paid</t>
  </si>
  <si>
    <t>Cashflows from financing</t>
  </si>
  <si>
    <t>Increase/(decrease) in cash</t>
  </si>
  <si>
    <t>BS Check</t>
  </si>
  <si>
    <t>Total assets</t>
  </si>
  <si>
    <t>Net assets</t>
  </si>
  <si>
    <t>Equity</t>
  </si>
  <si>
    <t>Common stock</t>
  </si>
  <si>
    <t>Retained earnings</t>
  </si>
  <si>
    <t>Total equity</t>
  </si>
  <si>
    <t>Check (balance)</t>
  </si>
  <si>
    <t>Net cash movement</t>
  </si>
  <si>
    <t>FCF</t>
  </si>
  <si>
    <t>WACC</t>
  </si>
  <si>
    <t>Rf Rate</t>
  </si>
  <si>
    <t>Period</t>
  </si>
  <si>
    <t>Discount factor</t>
  </si>
  <si>
    <t>Terminal</t>
  </si>
  <si>
    <t>Assume no growth rate</t>
  </si>
  <si>
    <t>EV</t>
  </si>
  <si>
    <t>Debt</t>
  </si>
  <si>
    <t>FV</t>
  </si>
  <si>
    <t>FX rate (USD/GBP)</t>
  </si>
  <si>
    <t>per Oanda</t>
  </si>
  <si>
    <t>FV (GBP 000)</t>
  </si>
  <si>
    <t>Market capitalisation</t>
  </si>
  <si>
    <t>per LSE</t>
  </si>
  <si>
    <t>Shares on issue</t>
  </si>
  <si>
    <t>FV/share</t>
  </si>
  <si>
    <t>Price/share</t>
  </si>
  <si>
    <t>Upside</t>
  </si>
  <si>
    <t>DCF Valuation</t>
  </si>
  <si>
    <t>Discounted FCF</t>
  </si>
  <si>
    <t>Period days</t>
  </si>
  <si>
    <t>Valuation inputs</t>
  </si>
  <si>
    <t>PPE assumptions</t>
  </si>
  <si>
    <t>USD</t>
  </si>
  <si>
    <t>Inflationary growth</t>
  </si>
  <si>
    <t>Bitmain S17 - purchase price</t>
  </si>
  <si>
    <t>Basis/notes</t>
  </si>
  <si>
    <t>Expense growth</t>
  </si>
  <si>
    <t>Estimate - pessimistic</t>
  </si>
  <si>
    <t>T-bill?</t>
  </si>
  <si>
    <t>From press releases</t>
  </si>
  <si>
    <t>General</t>
  </si>
  <si>
    <t>ARB Model - Key unit economics</t>
  </si>
  <si>
    <t>Not modelled completely</t>
  </si>
  <si>
    <t>Difficulty change MoM</t>
  </si>
  <si>
    <t>BTC Production</t>
  </si>
  <si>
    <t>LIVE CASE</t>
  </si>
  <si>
    <t>Mining difficulty change</t>
  </si>
  <si>
    <t>Scenario modelling</t>
  </si>
  <si>
    <t>BASE CASE (1)</t>
  </si>
  <si>
    <t>UPSIDE CASE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</si>
</sst>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5" formatCode="&quot;$&quot;#,##0.00;[Red]\-&quot;$&quot;#,##0.00"/>
    <numFmt numFmtId="166" formatCode="_-&quot;$&quot;* #,##0.00_-;\-&quot;$&quot;* #,##0.00_-;_-&quot;$&quot;* &quot;-&quot;??_-;_-@_-"/>
    <numFmt numFmtId="167" formatCode="_-* #,##0_-;\-* #,##0_-;_-* &quot;-&quot;??_-;_-@_-"/>
    <numFmt numFmtId="168" formatCode="_-&quot;$&quot;* #,##0_-;\-&quot;$&quot;* #,##0_-;_-&quot;$&quot;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6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10"/>
      <color theme="4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9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1" applyNumberFormat="0" applyFill="0" applyAlignment="0" applyProtection="0"/>
  </cellStyleXfs>
  <cellXfs count="152">
    <xf numFmtId="0" fontId="0" fillId="0" borderId="0" xfId="0"/>
    <xf numFmtId="0" fontId="3" fillId="0" borderId="0" xfId="0" applyFont="1"/>
    <xf numFmtId="0" fontId="0" fillId="0" borderId="0" xfId="0" applyAlignment="1">
      <alignment horizontal="left" indent="1"/>
    </xf>
    <xf numFmtId="0" fontId="6" fillId="0" borderId="0" xfId="0" applyFont="1"/>
    <xf numFmtId="43" fontId="0" fillId="0" borderId="0" xfId="1" applyFont="1"/>
    <xf numFmtId="167" fontId="0" fillId="0" borderId="0" xfId="1" applyNumberFormat="1" applyFont="1"/>
    <xf numFmtId="9" fontId="0" fillId="0" borderId="0" xfId="3" applyFont="1"/>
    <xf numFmtId="9" fontId="0" fillId="0" borderId="0" xfId="0" applyNumberFormat="1"/>
    <xf numFmtId="43" fontId="0" fillId="0" borderId="0" xfId="1" applyNumberFormat="1" applyFont="1"/>
    <xf numFmtId="167" fontId="3" fillId="0" borderId="0" xfId="1" applyNumberFormat="1" applyFont="1"/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  <xf numFmtId="0" fontId="7" fillId="0" borderId="0" xfId="0" applyFont="1"/>
    <xf numFmtId="167" fontId="7" fillId="0" borderId="0" xfId="1" applyNumberFormat="1" applyFont="1" applyBorder="1"/>
    <xf numFmtId="167" fontId="6" fillId="0" borderId="0" xfId="0" applyNumberFormat="1" applyFont="1"/>
    <xf numFmtId="0" fontId="0" fillId="0" borderId="2" xfId="0" applyBorder="1" applyAlignment="1">
      <alignment horizontal="left" indent="1"/>
    </xf>
    <xf numFmtId="0" fontId="0" fillId="0" borderId="2" xfId="0" applyBorder="1"/>
    <xf numFmtId="0" fontId="3" fillId="0" borderId="4" xfId="4" applyBorder="1"/>
    <xf numFmtId="167" fontId="0" fillId="0" borderId="2" xfId="1" applyNumberFormat="1" applyFont="1" applyBorder="1"/>
    <xf numFmtId="0" fontId="3" fillId="0" borderId="3" xfId="4" applyBorder="1"/>
    <xf numFmtId="0" fontId="7" fillId="0" borderId="0" xfId="0" applyFont="1" applyFill="1" applyBorder="1" applyAlignment="1">
      <alignment horizontal="left" indent="1"/>
    </xf>
    <xf numFmtId="167" fontId="0" fillId="0" borderId="0" xfId="0" applyNumberFormat="1"/>
    <xf numFmtId="0" fontId="3" fillId="0" borderId="5" xfId="4" applyBorder="1"/>
    <xf numFmtId="167" fontId="3" fillId="0" borderId="5" xfId="1" applyNumberFormat="1" applyFont="1" applyBorder="1"/>
    <xf numFmtId="0" fontId="3" fillId="0" borderId="6" xfId="0" applyFont="1" applyFill="1" applyBorder="1" applyAlignment="1">
      <alignment horizontal="left"/>
    </xf>
    <xf numFmtId="167" fontId="3" fillId="0" borderId="7" xfId="0" applyNumberFormat="1" applyFont="1" applyBorder="1"/>
    <xf numFmtId="167" fontId="3" fillId="0" borderId="8" xfId="0" applyNumberFormat="1" applyFont="1" applyBorder="1"/>
    <xf numFmtId="0" fontId="6" fillId="0" borderId="0" xfId="0" applyFont="1" applyAlignment="1">
      <alignment horizontal="left" indent="1"/>
    </xf>
    <xf numFmtId="0" fontId="8" fillId="2" borderId="9" xfId="0" applyFont="1" applyFill="1" applyBorder="1" applyAlignment="1">
      <alignment horizontal="left"/>
    </xf>
    <xf numFmtId="0" fontId="5" fillId="2" borderId="10" xfId="0" applyFont="1" applyFill="1" applyBorder="1"/>
    <xf numFmtId="0" fontId="5" fillId="2" borderId="11" xfId="0" applyFont="1" applyFill="1" applyBorder="1"/>
    <xf numFmtId="0" fontId="5" fillId="2" borderId="12" xfId="0" applyFont="1" applyFill="1" applyBorder="1" applyAlignment="1">
      <alignment horizontal="left" indent="1"/>
    </xf>
    <xf numFmtId="9" fontId="5" fillId="2" borderId="0" xfId="3" applyFont="1" applyFill="1" applyBorder="1"/>
    <xf numFmtId="9" fontId="5" fillId="2" borderId="13" xfId="3" applyFont="1" applyFill="1" applyBorder="1"/>
    <xf numFmtId="0" fontId="5" fillId="2" borderId="14" xfId="0" applyFont="1" applyFill="1" applyBorder="1" applyAlignment="1">
      <alignment horizontal="left" indent="1"/>
    </xf>
    <xf numFmtId="168" fontId="5" fillId="2" borderId="15" xfId="2" applyNumberFormat="1" applyFont="1" applyFill="1" applyBorder="1"/>
    <xf numFmtId="168" fontId="5" fillId="2" borderId="16" xfId="2" applyNumberFormat="1" applyFont="1" applyFill="1" applyBorder="1"/>
    <xf numFmtId="0" fontId="8" fillId="2" borderId="10" xfId="0" applyFont="1" applyFill="1" applyBorder="1" applyAlignment="1">
      <alignment horizontal="left"/>
    </xf>
    <xf numFmtId="167" fontId="0" fillId="0" borderId="0" xfId="1" applyNumberFormat="1" applyFont="1" applyAlignment="1">
      <alignment horizontal="left" indent="1"/>
    </xf>
    <xf numFmtId="17" fontId="2" fillId="3" borderId="0" xfId="0" applyNumberFormat="1" applyFont="1" applyFill="1"/>
    <xf numFmtId="0" fontId="0" fillId="0" borderId="0" xfId="0" applyFill="1" applyAlignment="1">
      <alignment horizontal="right"/>
    </xf>
    <xf numFmtId="0" fontId="0" fillId="0" borderId="0" xfId="0" applyFill="1"/>
    <xf numFmtId="167" fontId="3" fillId="0" borderId="0" xfId="1" applyNumberFormat="1" applyFont="1" applyFill="1"/>
    <xf numFmtId="9" fontId="0" fillId="0" borderId="0" xfId="0" applyNumberFormat="1" applyFill="1"/>
    <xf numFmtId="43" fontId="0" fillId="0" borderId="0" xfId="1" applyNumberFormat="1" applyFont="1" applyFill="1"/>
    <xf numFmtId="17" fontId="2" fillId="4" borderId="0" xfId="0" applyNumberFormat="1" applyFont="1" applyFill="1"/>
    <xf numFmtId="0" fontId="3" fillId="0" borderId="2" xfId="0" applyFont="1" applyBorder="1"/>
    <xf numFmtId="0" fontId="3" fillId="0" borderId="5" xfId="0" applyFont="1" applyBorder="1"/>
    <xf numFmtId="167" fontId="3" fillId="0" borderId="5" xfId="1" applyNumberFormat="1" applyFont="1" applyFill="1" applyBorder="1"/>
    <xf numFmtId="0" fontId="9" fillId="0" borderId="0" xfId="0" applyFont="1" applyAlignment="1">
      <alignment horizontal="left" indent="2"/>
    </xf>
    <xf numFmtId="0" fontId="10" fillId="0" borderId="0" xfId="0" applyFont="1"/>
    <xf numFmtId="0" fontId="10" fillId="0" borderId="0" xfId="0" applyFont="1" applyFill="1"/>
    <xf numFmtId="0" fontId="11" fillId="0" borderId="0" xfId="0" applyFont="1"/>
    <xf numFmtId="0" fontId="11" fillId="6" borderId="0" xfId="0" applyFont="1" applyFill="1"/>
    <xf numFmtId="0" fontId="11" fillId="6" borderId="0" xfId="0" applyFont="1" applyFill="1" applyAlignment="1">
      <alignment horizontal="right"/>
    </xf>
    <xf numFmtId="167" fontId="12" fillId="0" borderId="0" xfId="1" applyNumberFormat="1" applyFont="1"/>
    <xf numFmtId="0" fontId="12" fillId="0" borderId="0" xfId="0" applyFont="1"/>
    <xf numFmtId="0" fontId="12" fillId="0" borderId="0" xfId="0" applyFont="1" applyFill="1"/>
    <xf numFmtId="0" fontId="11" fillId="0" borderId="0" xfId="0" applyFont="1" applyFill="1"/>
    <xf numFmtId="0" fontId="3" fillId="0" borderId="0" xfId="0" applyFont="1" applyFill="1"/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6" fillId="0" borderId="0" xfId="0" applyFont="1" applyFill="1"/>
    <xf numFmtId="167" fontId="0" fillId="0" borderId="0" xfId="1" applyNumberFormat="1" applyFont="1" applyFill="1"/>
    <xf numFmtId="0" fontId="0" fillId="0" borderId="0" xfId="0" applyBorder="1"/>
    <xf numFmtId="0" fontId="13" fillId="5" borderId="0" xfId="0" applyFont="1" applyFill="1" applyBorder="1"/>
    <xf numFmtId="0" fontId="13" fillId="0" borderId="0" xfId="0" applyFont="1" applyFill="1" applyBorder="1"/>
    <xf numFmtId="0" fontId="13" fillId="0" borderId="0" xfId="0" applyFont="1" applyBorder="1"/>
    <xf numFmtId="0" fontId="2" fillId="5" borderId="0" xfId="0" applyFont="1" applyFill="1" applyBorder="1"/>
    <xf numFmtId="9" fontId="0" fillId="0" borderId="0" xfId="3" applyFont="1" applyAlignment="1">
      <alignment horizontal="right"/>
    </xf>
    <xf numFmtId="1" fontId="0" fillId="0" borderId="0" xfId="0" applyNumberFormat="1" applyAlignment="1">
      <alignment horizontal="right"/>
    </xf>
    <xf numFmtId="167" fontId="10" fillId="0" borderId="0" xfId="1" applyNumberFormat="1" applyFont="1"/>
    <xf numFmtId="2" fontId="10" fillId="0" borderId="0" xfId="0" applyNumberFormat="1" applyFont="1"/>
    <xf numFmtId="167" fontId="0" fillId="0" borderId="0" xfId="1" applyNumberFormat="1" applyFont="1" applyFill="1" applyAlignment="1">
      <alignment horizontal="left" indent="1"/>
    </xf>
    <xf numFmtId="167" fontId="3" fillId="0" borderId="0" xfId="1" applyNumberFormat="1" applyFont="1" applyFill="1" applyAlignment="1">
      <alignment horizontal="left"/>
    </xf>
    <xf numFmtId="167" fontId="10" fillId="0" borderId="0" xfId="1" applyNumberFormat="1" applyFont="1" applyFill="1"/>
    <xf numFmtId="167" fontId="11" fillId="0" borderId="0" xfId="1" applyNumberFormat="1" applyFont="1"/>
    <xf numFmtId="167" fontId="15" fillId="0" borderId="0" xfId="1" applyNumberFormat="1" applyFont="1"/>
    <xf numFmtId="167" fontId="11" fillId="0" borderId="0" xfId="1" applyNumberFormat="1" applyFont="1" applyFill="1"/>
    <xf numFmtId="167" fontId="15" fillId="0" borderId="0" xfId="1" applyNumberFormat="1" applyFont="1" applyFill="1"/>
    <xf numFmtId="0" fontId="0" fillId="0" borderId="0" xfId="0" applyAlignment="1">
      <alignment horizontal="left"/>
    </xf>
    <xf numFmtId="167" fontId="3" fillId="0" borderId="0" xfId="1" applyNumberFormat="1" applyFont="1" applyBorder="1"/>
    <xf numFmtId="167" fontId="3" fillId="0" borderId="0" xfId="1" applyNumberFormat="1" applyFont="1" applyFill="1" applyBorder="1"/>
    <xf numFmtId="167" fontId="1" fillId="0" borderId="0" xfId="1" applyNumberFormat="1" applyFont="1"/>
    <xf numFmtId="167" fontId="3" fillId="0" borderId="17" xfId="1" applyNumberFormat="1" applyFont="1" applyBorder="1"/>
    <xf numFmtId="167" fontId="3" fillId="0" borderId="17" xfId="1" applyNumberFormat="1" applyFont="1" applyFill="1" applyBorder="1"/>
    <xf numFmtId="0" fontId="16" fillId="6" borderId="0" xfId="0" applyFont="1" applyFill="1"/>
    <xf numFmtId="9" fontId="16" fillId="6" borderId="0" xfId="3" applyFont="1" applyFill="1"/>
    <xf numFmtId="167" fontId="16" fillId="6" borderId="0" xfId="0" applyNumberFormat="1" applyFont="1" applyFill="1"/>
    <xf numFmtId="17" fontId="2" fillId="3" borderId="0" xfId="0" applyNumberFormat="1" applyFont="1" applyFill="1" applyAlignment="1">
      <alignment horizontal="right"/>
    </xf>
    <xf numFmtId="167" fontId="3" fillId="0" borderId="4" xfId="4" applyNumberFormat="1" applyBorder="1"/>
    <xf numFmtId="0" fontId="7" fillId="0" borderId="18" xfId="0" applyFont="1" applyBorder="1" applyAlignment="1">
      <alignment horizontal="left" indent="2"/>
    </xf>
    <xf numFmtId="167" fontId="7" fillId="0" borderId="19" xfId="1" applyNumberFormat="1" applyFont="1" applyBorder="1"/>
    <xf numFmtId="167" fontId="7" fillId="0" borderId="20" xfId="1" applyNumberFormat="1" applyFont="1" applyBorder="1"/>
    <xf numFmtId="0" fontId="7" fillId="0" borderId="21" xfId="0" applyFont="1" applyBorder="1" applyAlignment="1">
      <alignment horizontal="left" indent="2"/>
    </xf>
    <xf numFmtId="167" fontId="7" fillId="0" borderId="22" xfId="1" applyNumberFormat="1" applyFont="1" applyBorder="1"/>
    <xf numFmtId="0" fontId="7" fillId="0" borderId="23" xfId="0" applyFont="1" applyBorder="1" applyAlignment="1">
      <alignment horizontal="left" indent="2"/>
    </xf>
    <xf numFmtId="167" fontId="7" fillId="0" borderId="24" xfId="1" applyNumberFormat="1" applyFont="1" applyBorder="1"/>
    <xf numFmtId="167" fontId="7" fillId="0" borderId="25" xfId="1" applyNumberFormat="1" applyFont="1" applyBorder="1"/>
    <xf numFmtId="0" fontId="10" fillId="0" borderId="19" xfId="0" applyFont="1" applyBorder="1"/>
    <xf numFmtId="0" fontId="10" fillId="0" borderId="0" xfId="0" applyFont="1" applyBorder="1"/>
    <xf numFmtId="0" fontId="10" fillId="0" borderId="24" xfId="0" applyFont="1" applyBorder="1"/>
    <xf numFmtId="167" fontId="3" fillId="0" borderId="5" xfId="4" applyNumberFormat="1" applyBorder="1"/>
    <xf numFmtId="167" fontId="5" fillId="2" borderId="15" xfId="1" applyNumberFormat="1" applyFont="1" applyFill="1" applyBorder="1" applyAlignment="1">
      <alignment horizontal="left" indent="1"/>
    </xf>
    <xf numFmtId="167" fontId="6" fillId="0" borderId="0" xfId="0" applyNumberFormat="1" applyFont="1" applyAlignment="1">
      <alignment horizontal="left" indent="1"/>
    </xf>
    <xf numFmtId="167" fontId="0" fillId="0" borderId="0" xfId="1" applyNumberFormat="1" applyFont="1" applyBorder="1"/>
    <xf numFmtId="167" fontId="0" fillId="0" borderId="0" xfId="0" applyNumberFormat="1" applyBorder="1"/>
    <xf numFmtId="167" fontId="0" fillId="0" borderId="2" xfId="0" applyNumberFormat="1" applyBorder="1"/>
    <xf numFmtId="167" fontId="10" fillId="0" borderId="0" xfId="0" applyNumberFormat="1" applyFont="1"/>
    <xf numFmtId="0" fontId="7" fillId="0" borderId="26" xfId="0" applyFont="1" applyBorder="1" applyAlignment="1">
      <alignment horizontal="left" indent="1"/>
    </xf>
    <xf numFmtId="167" fontId="7" fillId="0" borderId="27" xfId="1" applyNumberFormat="1" applyFont="1" applyBorder="1"/>
    <xf numFmtId="167" fontId="7" fillId="0" borderId="28" xfId="1" applyNumberFormat="1" applyFont="1" applyBorder="1"/>
    <xf numFmtId="0" fontId="3" fillId="0" borderId="29" xfId="0" applyFont="1" applyBorder="1"/>
    <xf numFmtId="167" fontId="3" fillId="0" borderId="29" xfId="0" applyNumberFormat="1" applyFont="1" applyBorder="1"/>
    <xf numFmtId="167" fontId="3" fillId="0" borderId="5" xfId="0" applyNumberFormat="1" applyFont="1" applyBorder="1"/>
    <xf numFmtId="0" fontId="3" fillId="0" borderId="0" xfId="0" applyFont="1" applyFill="1" applyBorder="1"/>
    <xf numFmtId="0" fontId="10" fillId="0" borderId="0" xfId="0" applyFont="1" applyAlignment="1">
      <alignment horizontal="right"/>
    </xf>
    <xf numFmtId="0" fontId="3" fillId="0" borderId="5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167" fontId="3" fillId="0" borderId="4" xfId="0" applyNumberFormat="1" applyFont="1" applyBorder="1"/>
    <xf numFmtId="167" fontId="6" fillId="0" borderId="0" xfId="1" applyNumberFormat="1" applyFont="1"/>
    <xf numFmtId="167" fontId="0" fillId="0" borderId="0" xfId="0" applyNumberFormat="1" applyFont="1"/>
    <xf numFmtId="0" fontId="5" fillId="0" borderId="0" xfId="0" applyFont="1"/>
    <xf numFmtId="0" fontId="3" fillId="0" borderId="4" xfId="0" applyFont="1" applyFill="1" applyBorder="1"/>
    <xf numFmtId="167" fontId="0" fillId="0" borderId="4" xfId="0" applyNumberFormat="1" applyBorder="1"/>
    <xf numFmtId="0" fontId="0" fillId="0" borderId="4" xfId="0" applyBorder="1"/>
    <xf numFmtId="167" fontId="0" fillId="0" borderId="4" xfId="1" applyNumberFormat="1" applyFont="1" applyBorder="1"/>
    <xf numFmtId="0" fontId="3" fillId="0" borderId="0" xfId="0" applyFont="1" applyAlignment="1">
      <alignment horizontal="center"/>
    </xf>
    <xf numFmtId="0" fontId="2" fillId="5" borderId="0" xfId="0" applyFont="1" applyFill="1"/>
    <xf numFmtId="0" fontId="4" fillId="5" borderId="0" xfId="0" applyFont="1" applyFill="1"/>
    <xf numFmtId="17" fontId="2" fillId="3" borderId="0" xfId="0" applyNumberFormat="1" applyFont="1" applyFill="1" applyAlignment="1">
      <alignment horizontal="right" indent="1"/>
    </xf>
    <xf numFmtId="0" fontId="11" fillId="6" borderId="0" xfId="0" applyFont="1" applyFill="1" applyAlignment="1">
      <alignment horizontal="right" indent="1"/>
    </xf>
    <xf numFmtId="0" fontId="18" fillId="0" borderId="0" xfId="0" applyFont="1"/>
    <xf numFmtId="9" fontId="3" fillId="0" borderId="0" xfId="3" applyFont="1"/>
    <xf numFmtId="0" fontId="3" fillId="5" borderId="0" xfId="0" applyFont="1" applyFill="1"/>
    <xf numFmtId="9" fontId="10" fillId="0" borderId="0" xfId="0" applyNumberFormat="1" applyFont="1"/>
    <xf numFmtId="0" fontId="19" fillId="0" borderId="0" xfId="0" quotePrefix="1" applyFont="1" applyAlignment="1">
      <alignment horizontal="right"/>
    </xf>
    <xf numFmtId="167" fontId="1" fillId="0" borderId="0" xfId="1" applyNumberFormat="1" applyFont="1" applyFill="1"/>
    <xf numFmtId="9" fontId="10" fillId="0" borderId="0" xfId="3" applyFont="1"/>
    <xf numFmtId="9" fontId="0" fillId="0" borderId="0" xfId="3" applyFont="1" applyFill="1"/>
    <xf numFmtId="9" fontId="0" fillId="0" borderId="2" xfId="3" applyFont="1" applyBorder="1"/>
    <xf numFmtId="9" fontId="0" fillId="0" borderId="2" xfId="0" applyNumberFormat="1" applyFill="1" applyBorder="1"/>
    <xf numFmtId="0" fontId="11" fillId="7" borderId="30" xfId="0" applyFont="1" applyFill="1" applyBorder="1"/>
    <xf numFmtId="0" fontId="3" fillId="7" borderId="2" xfId="0" applyFont="1" applyFill="1" applyBorder="1"/>
    <xf numFmtId="9" fontId="0" fillId="7" borderId="2" xfId="3" applyFont="1" applyFill="1" applyBorder="1"/>
    <xf numFmtId="167" fontId="1" fillId="7" borderId="0" xfId="1" applyNumberFormat="1" applyFont="1" applyFill="1"/>
    <xf numFmtId="9" fontId="0" fillId="7" borderId="0" xfId="3" applyFont="1" applyFill="1" applyAlignment="1">
      <alignment horizontal="left"/>
    </xf>
    <xf numFmtId="9" fontId="0" fillId="7" borderId="0" xfId="3" applyFont="1" applyFill="1"/>
    <xf numFmtId="9" fontId="0" fillId="7" borderId="2" xfId="0" applyNumberFormat="1" applyFill="1" applyBorder="1"/>
    <xf numFmtId="167" fontId="0" fillId="7" borderId="0" xfId="1" applyNumberFormat="1" applyFont="1" applyFill="1"/>
  </cellXfs>
  <cellStyles count="5">
    <cellStyle name="Comma" xfId="1" builtinId="3"/>
    <cellStyle name="Currency" xfId="2" builtinId="4"/>
    <cellStyle name="Normal" xfId="0" builtinId="0"/>
    <cellStyle name="Percent" xfId="3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142876</xdr:colOff>
      <xdr:row>8</xdr:row>
      <xdr:rowOff>133351</xdr:rowOff>
    </xdr:from>
    <xdr:to>
      <xdr:col>8</xdr:col>
      <xdr:colOff>257176</xdr:colOff>
      <xdr:row>11</xdr:row>
      <xdr:rowOff>76201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BA5F081-F7FC-4C14-A37A-5F25362B846F}"/>
            </a:ext>
          </a:extLst>
        </xdr:cNvPr>
        <xdr:cNvSpPr/>
      </xdr:nvSpPr>
      <xdr:spPr>
        <a:xfrm>
          <a:off x="4410076" y="3752851"/>
          <a:ext cx="1943100" cy="514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1"/>
            <a:t>Miner</a:t>
          </a:r>
        </a:p>
      </xdr:txBody>
    </xdr:sp>
    <xdr:clientData/>
  </xdr:twoCellAnchor>
  <xdr:twoCellAnchor>
    <xdr:from>
      <xdr:col>1</xdr:col>
      <xdr:colOff>28576</xdr:colOff>
      <xdr:row>16</xdr:row>
      <xdr:rowOff>161927</xdr:rowOff>
    </xdr:from>
    <xdr:to>
      <xdr:col>4</xdr:col>
      <xdr:colOff>142876</xdr:colOff>
      <xdr:row>18</xdr:row>
      <xdr:rowOff>19051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7BCFFFA-7694-4864-A388-3D609ACEDAC1}"/>
            </a:ext>
          </a:extLst>
        </xdr:cNvPr>
        <xdr:cNvSpPr/>
      </xdr:nvSpPr>
      <xdr:spPr>
        <a:xfrm>
          <a:off x="638176" y="3209927"/>
          <a:ext cx="1943100" cy="23812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Mining Difficulty **</a:t>
          </a:r>
        </a:p>
      </xdr:txBody>
    </xdr:sp>
    <xdr:clientData/>
  </xdr:twoCellAnchor>
  <xdr:twoCellAnchor>
    <xdr:from>
      <xdr:col>2</xdr:col>
      <xdr:colOff>295276</xdr:colOff>
      <xdr:row>30</xdr:row>
      <xdr:rowOff>133352</xdr:rowOff>
    </xdr:from>
    <xdr:to>
      <xdr:col>5</xdr:col>
      <xdr:colOff>409576</xdr:colOff>
      <xdr:row>32</xdr:row>
      <xdr:rowOff>76200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531B0AF-E0B8-4CE8-AA22-C8221FBF7F04}"/>
            </a:ext>
          </a:extLst>
        </xdr:cNvPr>
        <xdr:cNvSpPr/>
      </xdr:nvSpPr>
      <xdr:spPr>
        <a:xfrm>
          <a:off x="2733676" y="5848352"/>
          <a:ext cx="1943100" cy="323848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Revenue</a:t>
          </a:r>
        </a:p>
      </xdr:txBody>
    </xdr:sp>
    <xdr:clientData/>
  </xdr:twoCellAnchor>
  <xdr:twoCellAnchor>
    <xdr:from>
      <xdr:col>8</xdr:col>
      <xdr:colOff>95251</xdr:colOff>
      <xdr:row>15</xdr:row>
      <xdr:rowOff>133352</xdr:rowOff>
    </xdr:from>
    <xdr:to>
      <xdr:col>11</xdr:col>
      <xdr:colOff>209551</xdr:colOff>
      <xdr:row>16</xdr:row>
      <xdr:rowOff>180976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64A0C6E-8DE1-4BEB-8F35-D0E2C0FCCD40}"/>
            </a:ext>
          </a:extLst>
        </xdr:cNvPr>
        <xdr:cNvSpPr/>
      </xdr:nvSpPr>
      <xdr:spPr>
        <a:xfrm>
          <a:off x="6191251" y="5086352"/>
          <a:ext cx="1943100" cy="23812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Power consumption</a:t>
          </a:r>
        </a:p>
      </xdr:txBody>
    </xdr:sp>
    <xdr:clientData/>
  </xdr:twoCellAnchor>
  <xdr:twoCellAnchor>
    <xdr:from>
      <xdr:col>8</xdr:col>
      <xdr:colOff>85726</xdr:colOff>
      <xdr:row>17</xdr:row>
      <xdr:rowOff>47627</xdr:rowOff>
    </xdr:from>
    <xdr:to>
      <xdr:col>11</xdr:col>
      <xdr:colOff>200026</xdr:colOff>
      <xdr:row>18</xdr:row>
      <xdr:rowOff>95251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161AED48-79CE-403F-B515-6A7643F233A9}"/>
            </a:ext>
          </a:extLst>
        </xdr:cNvPr>
        <xdr:cNvSpPr/>
      </xdr:nvSpPr>
      <xdr:spPr>
        <a:xfrm>
          <a:off x="6181726" y="5381627"/>
          <a:ext cx="1943100" cy="23812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Hosting costs</a:t>
          </a:r>
        </a:p>
      </xdr:txBody>
    </xdr:sp>
    <xdr:clientData/>
  </xdr:twoCellAnchor>
  <xdr:twoCellAnchor>
    <xdr:from>
      <xdr:col>8</xdr:col>
      <xdr:colOff>66676</xdr:colOff>
      <xdr:row>26</xdr:row>
      <xdr:rowOff>38102</xdr:rowOff>
    </xdr:from>
    <xdr:to>
      <xdr:col>11</xdr:col>
      <xdr:colOff>180976</xdr:colOff>
      <xdr:row>27</xdr:row>
      <xdr:rowOff>171450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2AF6C3DC-5D33-4D65-8C2D-545C1D3F7DA0}"/>
            </a:ext>
          </a:extLst>
        </xdr:cNvPr>
        <xdr:cNvSpPr/>
      </xdr:nvSpPr>
      <xdr:spPr>
        <a:xfrm>
          <a:off x="6162676" y="4991102"/>
          <a:ext cx="1943100" cy="323848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Direct</a:t>
          </a:r>
          <a:r>
            <a:rPr lang="en-GB" sz="1100" baseline="0"/>
            <a:t> costs</a:t>
          </a:r>
          <a:endParaRPr lang="en-GB" sz="1100"/>
        </a:p>
      </xdr:txBody>
    </xdr:sp>
    <xdr:clientData/>
  </xdr:twoCellAnchor>
  <xdr:twoCellAnchor>
    <xdr:from>
      <xdr:col>2</xdr:col>
      <xdr:colOff>390526</xdr:colOff>
      <xdr:row>11</xdr:row>
      <xdr:rowOff>76201</xdr:rowOff>
    </xdr:from>
    <xdr:to>
      <xdr:col>6</xdr:col>
      <xdr:colOff>504826</xdr:colOff>
      <xdr:row>16</xdr:row>
      <xdr:rowOff>161927</xdr:rowOff>
    </xdr:to>
    <xdr:cxnSp macro="">
      <xdr:nvCxnSpPr>
        <xdr:cNvPr id="10" name="Connector: Elbow 9">
          <a:extLst>
            <a:ext uri="{FF2B5EF4-FFF2-40B4-BE49-F238E27FC236}">
              <a16:creationId xmlns:a16="http://schemas.microsoft.com/office/drawing/2014/main" id="{D4C8F141-C1C4-4D31-99FD-0546CD24031D}"/>
            </a:ext>
          </a:extLst>
        </xdr:cNvPr>
        <xdr:cNvCxnSpPr>
          <a:stCxn id="2" idx="2"/>
          <a:endCxn id="3" idx="0"/>
        </xdr:cNvCxnSpPr>
      </xdr:nvCxnSpPr>
      <xdr:spPr>
        <a:xfrm rot="5400000">
          <a:off x="2366963" y="1414464"/>
          <a:ext cx="1038226" cy="25527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504826</xdr:colOff>
      <xdr:row>11</xdr:row>
      <xdr:rowOff>76200</xdr:rowOff>
    </xdr:from>
    <xdr:to>
      <xdr:col>8</xdr:col>
      <xdr:colOff>95251</xdr:colOff>
      <xdr:row>16</xdr:row>
      <xdr:rowOff>61913</xdr:rowOff>
    </xdr:to>
    <xdr:cxnSp macro="">
      <xdr:nvCxnSpPr>
        <xdr:cNvPr id="12" name="Connector: Elbow 11">
          <a:extLst>
            <a:ext uri="{FF2B5EF4-FFF2-40B4-BE49-F238E27FC236}">
              <a16:creationId xmlns:a16="http://schemas.microsoft.com/office/drawing/2014/main" id="{07754365-68F0-4F29-9A15-1D96F409DE0D}"/>
            </a:ext>
          </a:extLst>
        </xdr:cNvPr>
        <xdr:cNvCxnSpPr>
          <a:stCxn id="2" idx="2"/>
          <a:endCxn id="6" idx="1"/>
        </xdr:cNvCxnSpPr>
      </xdr:nvCxnSpPr>
      <xdr:spPr>
        <a:xfrm rot="16200000" flipH="1">
          <a:off x="5317332" y="4331494"/>
          <a:ext cx="938213" cy="80962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504826</xdr:colOff>
      <xdr:row>11</xdr:row>
      <xdr:rowOff>76201</xdr:rowOff>
    </xdr:from>
    <xdr:to>
      <xdr:col>8</xdr:col>
      <xdr:colOff>85726</xdr:colOff>
      <xdr:row>17</xdr:row>
      <xdr:rowOff>166689</xdr:rowOff>
    </xdr:to>
    <xdr:cxnSp macro="">
      <xdr:nvCxnSpPr>
        <xdr:cNvPr id="14" name="Connector: Elbow 13">
          <a:extLst>
            <a:ext uri="{FF2B5EF4-FFF2-40B4-BE49-F238E27FC236}">
              <a16:creationId xmlns:a16="http://schemas.microsoft.com/office/drawing/2014/main" id="{7C019B38-56E7-457F-BD80-449889CB1F03}"/>
            </a:ext>
          </a:extLst>
        </xdr:cNvPr>
        <xdr:cNvCxnSpPr>
          <a:stCxn id="2" idx="2"/>
          <a:endCxn id="7" idx="1"/>
        </xdr:cNvCxnSpPr>
      </xdr:nvCxnSpPr>
      <xdr:spPr>
        <a:xfrm rot="16200000" flipH="1">
          <a:off x="5164932" y="4483895"/>
          <a:ext cx="1233488" cy="8001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428626</xdr:colOff>
      <xdr:row>18</xdr:row>
      <xdr:rowOff>95251</xdr:rowOff>
    </xdr:from>
    <xdr:to>
      <xdr:col>9</xdr:col>
      <xdr:colOff>447676</xdr:colOff>
      <xdr:row>26</xdr:row>
      <xdr:rowOff>38102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703E4C8B-EDA7-4E5E-A874-24DC198B2E75}"/>
            </a:ext>
          </a:extLst>
        </xdr:cNvPr>
        <xdr:cNvCxnSpPr>
          <a:stCxn id="7" idx="2"/>
          <a:endCxn id="8" idx="0"/>
        </xdr:cNvCxnSpPr>
      </xdr:nvCxnSpPr>
      <xdr:spPr>
        <a:xfrm flipH="1">
          <a:off x="7134226" y="3524251"/>
          <a:ext cx="19050" cy="14668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390527</xdr:colOff>
      <xdr:row>18</xdr:row>
      <xdr:rowOff>19050</xdr:rowOff>
    </xdr:from>
    <xdr:to>
      <xdr:col>5</xdr:col>
      <xdr:colOff>142877</xdr:colOff>
      <xdr:row>21</xdr:row>
      <xdr:rowOff>38101</xdr:rowOff>
    </xdr:to>
    <xdr:cxnSp macro="">
      <xdr:nvCxnSpPr>
        <xdr:cNvPr id="32" name="Connector: Elbow 31">
          <a:extLst>
            <a:ext uri="{FF2B5EF4-FFF2-40B4-BE49-F238E27FC236}">
              <a16:creationId xmlns:a16="http://schemas.microsoft.com/office/drawing/2014/main" id="{04DFBD1F-AB9F-4905-8E0C-548F8192B550}"/>
            </a:ext>
          </a:extLst>
        </xdr:cNvPr>
        <xdr:cNvCxnSpPr>
          <a:stCxn id="3" idx="2"/>
          <a:endCxn id="37" idx="0"/>
        </xdr:cNvCxnSpPr>
      </xdr:nvCxnSpPr>
      <xdr:spPr>
        <a:xfrm rot="16200000" flipH="1">
          <a:off x="2105026" y="2952751"/>
          <a:ext cx="590551" cy="15811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390526</xdr:colOff>
      <xdr:row>21</xdr:row>
      <xdr:rowOff>38102</xdr:rowOff>
    </xdr:from>
    <xdr:to>
      <xdr:col>6</xdr:col>
      <xdr:colOff>504826</xdr:colOff>
      <xdr:row>22</xdr:row>
      <xdr:rowOff>85726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480A37A-72BA-491F-A067-9C830016F1DB}"/>
            </a:ext>
          </a:extLst>
        </xdr:cNvPr>
        <xdr:cNvSpPr/>
      </xdr:nvSpPr>
      <xdr:spPr>
        <a:xfrm>
          <a:off x="2219326" y="4038602"/>
          <a:ext cx="1943100" cy="23812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Mining</a:t>
          </a:r>
          <a:r>
            <a:rPr lang="en-GB" sz="1100" baseline="0"/>
            <a:t> production rate</a:t>
          </a:r>
          <a:endParaRPr lang="en-GB" sz="1100"/>
        </a:p>
      </xdr:txBody>
    </xdr:sp>
    <xdr:clientData/>
  </xdr:twoCellAnchor>
  <xdr:twoCellAnchor>
    <xdr:from>
      <xdr:col>13</xdr:col>
      <xdr:colOff>28576</xdr:colOff>
      <xdr:row>14</xdr:row>
      <xdr:rowOff>171450</xdr:rowOff>
    </xdr:from>
    <xdr:to>
      <xdr:col>16</xdr:col>
      <xdr:colOff>142876</xdr:colOff>
      <xdr:row>16</xdr:row>
      <xdr:rowOff>28575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CF358F36-AC01-4949-A180-ECC4ED4D274D}"/>
            </a:ext>
          </a:extLst>
        </xdr:cNvPr>
        <xdr:cNvSpPr/>
      </xdr:nvSpPr>
      <xdr:spPr>
        <a:xfrm>
          <a:off x="9782176" y="2838450"/>
          <a:ext cx="1943100" cy="23812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FX - USD/GBP,</a:t>
          </a:r>
          <a:r>
            <a:rPr lang="en-GB" sz="1100" baseline="0"/>
            <a:t> CAD/GBP</a:t>
          </a:r>
          <a:endParaRPr lang="en-GB" sz="1100"/>
        </a:p>
      </xdr:txBody>
    </xdr:sp>
    <xdr:clientData/>
  </xdr:twoCellAnchor>
  <xdr:twoCellAnchor>
    <xdr:from>
      <xdr:col>13</xdr:col>
      <xdr:colOff>19051</xdr:colOff>
      <xdr:row>11</xdr:row>
      <xdr:rowOff>161927</xdr:rowOff>
    </xdr:from>
    <xdr:to>
      <xdr:col>16</xdr:col>
      <xdr:colOff>133351</xdr:colOff>
      <xdr:row>13</xdr:row>
      <xdr:rowOff>19051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F262FF21-029E-4119-9AB6-E85700DFA4F5}"/>
            </a:ext>
          </a:extLst>
        </xdr:cNvPr>
        <xdr:cNvSpPr/>
      </xdr:nvSpPr>
      <xdr:spPr>
        <a:xfrm>
          <a:off x="9772651" y="2257427"/>
          <a:ext cx="1943100" cy="238124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Capex - acq, depn.</a:t>
          </a:r>
        </a:p>
      </xdr:txBody>
    </xdr:sp>
    <xdr:clientData/>
  </xdr:twoCellAnchor>
  <xdr:twoCellAnchor>
    <xdr:from>
      <xdr:col>12</xdr:col>
      <xdr:colOff>400050</xdr:colOff>
      <xdr:row>5</xdr:row>
      <xdr:rowOff>152400</xdr:rowOff>
    </xdr:from>
    <xdr:to>
      <xdr:col>17</xdr:col>
      <xdr:colOff>409575</xdr:colOff>
      <xdr:row>18</xdr:row>
      <xdr:rowOff>142875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83E77CAE-86BB-4CF5-A16B-8A7AA856C0D5}"/>
            </a:ext>
          </a:extLst>
        </xdr:cNvPr>
        <xdr:cNvSpPr/>
      </xdr:nvSpPr>
      <xdr:spPr>
        <a:xfrm>
          <a:off x="7715250" y="1104900"/>
          <a:ext cx="3810000" cy="2466975"/>
        </a:xfrm>
        <a:prstGeom prst="rect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571500</xdr:colOff>
      <xdr:row>25</xdr:row>
      <xdr:rowOff>133350</xdr:rowOff>
    </xdr:from>
    <xdr:to>
      <xdr:col>4</xdr:col>
      <xdr:colOff>76200</xdr:colOff>
      <xdr:row>26</xdr:row>
      <xdr:rowOff>180974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8EF08D79-35FE-46F2-A28D-BCD48B2AF9F2}"/>
            </a:ext>
          </a:extLst>
        </xdr:cNvPr>
        <xdr:cNvSpPr/>
      </xdr:nvSpPr>
      <xdr:spPr>
        <a:xfrm>
          <a:off x="571500" y="4895850"/>
          <a:ext cx="1943100" cy="23812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Bitcoin</a:t>
          </a:r>
          <a:r>
            <a:rPr lang="en-GB" sz="1100" baseline="0"/>
            <a:t> Price **</a:t>
          </a:r>
          <a:endParaRPr lang="en-GB" sz="1100"/>
        </a:p>
      </xdr:txBody>
    </xdr:sp>
    <xdr:clientData/>
  </xdr:twoCellAnchor>
  <xdr:twoCellAnchor>
    <xdr:from>
      <xdr:col>2</xdr:col>
      <xdr:colOff>323850</xdr:colOff>
      <xdr:row>26</xdr:row>
      <xdr:rowOff>180974</xdr:rowOff>
    </xdr:from>
    <xdr:to>
      <xdr:col>4</xdr:col>
      <xdr:colOff>47626</xdr:colOff>
      <xdr:row>30</xdr:row>
      <xdr:rowOff>133352</xdr:rowOff>
    </xdr:to>
    <xdr:cxnSp macro="">
      <xdr:nvCxnSpPr>
        <xdr:cNvPr id="69" name="Connector: Elbow 68">
          <a:extLst>
            <a:ext uri="{FF2B5EF4-FFF2-40B4-BE49-F238E27FC236}">
              <a16:creationId xmlns:a16="http://schemas.microsoft.com/office/drawing/2014/main" id="{AC049265-59E3-4897-8DBE-52490654A153}"/>
            </a:ext>
          </a:extLst>
        </xdr:cNvPr>
        <xdr:cNvCxnSpPr>
          <a:stCxn id="60" idx="2"/>
          <a:endCxn id="5" idx="0"/>
        </xdr:cNvCxnSpPr>
      </xdr:nvCxnSpPr>
      <xdr:spPr>
        <a:xfrm rot="16200000" flipH="1">
          <a:off x="1657349" y="5019675"/>
          <a:ext cx="714378" cy="94297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323850</xdr:colOff>
      <xdr:row>22</xdr:row>
      <xdr:rowOff>85726</xdr:rowOff>
    </xdr:from>
    <xdr:to>
      <xdr:col>5</xdr:col>
      <xdr:colOff>142876</xdr:colOff>
      <xdr:row>25</xdr:row>
      <xdr:rowOff>133350</xdr:rowOff>
    </xdr:to>
    <xdr:cxnSp macro="">
      <xdr:nvCxnSpPr>
        <xdr:cNvPr id="78" name="Connector: Elbow 77">
          <a:extLst>
            <a:ext uri="{FF2B5EF4-FFF2-40B4-BE49-F238E27FC236}">
              <a16:creationId xmlns:a16="http://schemas.microsoft.com/office/drawing/2014/main" id="{51F1C213-2675-42A7-BCA3-D974EA7C30F0}"/>
            </a:ext>
          </a:extLst>
        </xdr:cNvPr>
        <xdr:cNvCxnSpPr>
          <a:stCxn id="37" idx="2"/>
          <a:endCxn id="60" idx="0"/>
        </xdr:cNvCxnSpPr>
      </xdr:nvCxnSpPr>
      <xdr:spPr>
        <a:xfrm rot="5400000">
          <a:off x="2057401" y="3762375"/>
          <a:ext cx="619124" cy="164782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BC5AD-ACC0-4930-8B65-E49056255E5F}">
  <dimension ref="B2:N8"/>
  <sheetViews>
    <sheetView showGridLines="0" tabSelected="1" workbookViewId="0">
      <selection activeCell="Q35" sqref="Q35"/>
    </sheetView>
  </sheetViews>
  <sheetFormatPr defaultRowHeight="15" x14ac:dyDescent="0.25"/>
  <cols>
    <col min="14" max="14" width="20.42578125" customWidth="1"/>
  </cols>
  <sheetData>
    <row r="2" spans="2:14" x14ac:dyDescent="0.25">
      <c r="B2" s="129" t="s">
        <v>143</v>
      </c>
      <c r="C2" s="129"/>
      <c r="D2" s="129"/>
      <c r="E2" s="129"/>
      <c r="F2" s="129"/>
      <c r="G2" s="129"/>
      <c r="H2" s="129"/>
      <c r="I2" s="129"/>
    </row>
    <row r="8" spans="2:14" x14ac:dyDescent="0.25">
      <c r="N8" s="1" t="s">
        <v>144</v>
      </c>
    </row>
  </sheetData>
  <mergeCells count="1">
    <mergeCell ref="B2:I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1F120-5FD0-4752-A792-214631AA023F}">
  <dimension ref="B2:F15"/>
  <sheetViews>
    <sheetView showGridLines="0" workbookViewId="0">
      <selection activeCell="C21" sqref="C21"/>
    </sheetView>
  </sheetViews>
  <sheetFormatPr defaultRowHeight="15" x14ac:dyDescent="0.25"/>
  <cols>
    <col min="1" max="1" width="3.7109375" customWidth="1"/>
    <col min="2" max="2" width="29.140625" bestFit="1" customWidth="1"/>
    <col min="3" max="3" width="10.85546875" bestFit="1" customWidth="1"/>
    <col min="5" max="5" width="69.28515625" customWidth="1"/>
  </cols>
  <sheetData>
    <row r="2" spans="2:6" x14ac:dyDescent="0.25">
      <c r="B2" s="130" t="s">
        <v>0</v>
      </c>
      <c r="C2" s="131"/>
      <c r="D2" s="131"/>
      <c r="E2" s="131" t="s">
        <v>137</v>
      </c>
      <c r="F2" s="131"/>
    </row>
    <row r="4" spans="2:6" x14ac:dyDescent="0.25">
      <c r="B4" s="1" t="s">
        <v>142</v>
      </c>
    </row>
    <row r="5" spans="2:6" x14ac:dyDescent="0.25">
      <c r="B5" t="s">
        <v>135</v>
      </c>
      <c r="C5" s="137">
        <v>0.03</v>
      </c>
      <c r="E5" s="134" t="s">
        <v>138</v>
      </c>
    </row>
    <row r="7" spans="2:6" x14ac:dyDescent="0.25">
      <c r="B7" s="1" t="s">
        <v>133</v>
      </c>
    </row>
    <row r="8" spans="2:6" x14ac:dyDescent="0.25">
      <c r="B8" s="1"/>
    </row>
    <row r="9" spans="2:6" x14ac:dyDescent="0.25">
      <c r="B9" s="82" t="s">
        <v>136</v>
      </c>
      <c r="C9" s="52">
        <v>1400</v>
      </c>
      <c r="D9" t="s">
        <v>134</v>
      </c>
      <c r="E9" s="134" t="s">
        <v>141</v>
      </c>
    </row>
    <row r="10" spans="2:6" x14ac:dyDescent="0.25">
      <c r="B10" s="2"/>
      <c r="C10" s="52"/>
      <c r="E10" s="134"/>
    </row>
    <row r="11" spans="2:6" x14ac:dyDescent="0.25">
      <c r="B11" t="s">
        <v>53</v>
      </c>
      <c r="C11" s="137">
        <v>0.5</v>
      </c>
      <c r="D11" t="s">
        <v>54</v>
      </c>
    </row>
    <row r="13" spans="2:6" x14ac:dyDescent="0.25">
      <c r="B13" s="1" t="s">
        <v>132</v>
      </c>
    </row>
    <row r="14" spans="2:6" x14ac:dyDescent="0.25">
      <c r="B14" s="2" t="s">
        <v>111</v>
      </c>
      <c r="C14" s="137">
        <v>0.15</v>
      </c>
      <c r="E14" s="134" t="s">
        <v>139</v>
      </c>
    </row>
    <row r="15" spans="2:6" x14ac:dyDescent="0.25">
      <c r="B15" s="2" t="s">
        <v>112</v>
      </c>
      <c r="C15" s="137">
        <v>0.02</v>
      </c>
      <c r="E15" s="134" t="s">
        <v>140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BA733-86AD-4867-8233-D34752A17DF7}">
  <dimension ref="B1:BC107"/>
  <sheetViews>
    <sheetView showGridLines="0" workbookViewId="0">
      <selection activeCell="BK26" sqref="BK26"/>
    </sheetView>
  </sheetViews>
  <sheetFormatPr defaultRowHeight="15" outlineLevelCol="1" x14ac:dyDescent="0.25"/>
  <cols>
    <col min="1" max="1" width="3.140625" customWidth="1"/>
    <col min="2" max="2" width="28.85546875" customWidth="1"/>
    <col min="3" max="3" width="9" customWidth="1"/>
    <col min="4" max="4" width="9.85546875" customWidth="1"/>
    <col min="5" max="6" width="9.42578125" customWidth="1"/>
    <col min="7" max="7" width="3.140625" style="43" customWidth="1"/>
    <col min="8" max="8" width="8.7109375" hidden="1" customWidth="1" outlineLevel="1"/>
    <col min="9" max="9" width="9.85546875" hidden="1" customWidth="1" outlineLevel="1"/>
    <col min="10" max="13" width="11.5703125" hidden="1" customWidth="1" outlineLevel="1"/>
    <col min="14" max="14" width="13.28515625" style="43" hidden="1" customWidth="1" outlineLevel="1"/>
    <col min="15" max="18" width="11.5703125" style="43" hidden="1" customWidth="1" outlineLevel="1"/>
    <col min="19" max="19" width="9" style="43" customWidth="1" collapsed="1"/>
    <col min="20" max="29" width="13.28515625" style="43" hidden="1" customWidth="1" outlineLevel="1"/>
    <col min="30" max="30" width="11.5703125" style="43" hidden="1" customWidth="1" outlineLevel="1"/>
    <col min="31" max="31" width="11.5703125" style="43" bestFit="1" customWidth="1" collapsed="1"/>
    <col min="32" max="42" width="11.5703125" style="43" hidden="1" customWidth="1" outlineLevel="1"/>
    <col min="43" max="43" width="11.5703125" style="43" bestFit="1" customWidth="1" collapsed="1"/>
    <col min="44" max="54" width="11.5703125" style="43" hidden="1" customWidth="1" outlineLevel="1"/>
    <col min="55" max="55" width="11.5703125" style="43" bestFit="1" customWidth="1" collapsed="1"/>
  </cols>
  <sheetData>
    <row r="1" spans="2:55" x14ac:dyDescent="0.25"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</row>
    <row r="2" spans="2:55" x14ac:dyDescent="0.25">
      <c r="C2" s="51" t="s">
        <v>63</v>
      </c>
      <c r="D2" s="51" t="s">
        <v>24</v>
      </c>
      <c r="E2" s="51" t="s">
        <v>25</v>
      </c>
      <c r="F2" s="51" t="s">
        <v>64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</row>
    <row r="3" spans="2:55" ht="15.75" thickBot="1" x14ac:dyDescent="0.3">
      <c r="B3" s="41" t="s">
        <v>10</v>
      </c>
      <c r="C3" s="41">
        <f>S3</f>
        <v>43800</v>
      </c>
      <c r="D3" s="41">
        <f>AE3</f>
        <v>44166</v>
      </c>
      <c r="E3" s="41">
        <f>AQ3</f>
        <v>44531</v>
      </c>
      <c r="F3" s="41">
        <v>44896</v>
      </c>
      <c r="H3" s="41">
        <v>43466</v>
      </c>
      <c r="I3" s="41">
        <v>43497</v>
      </c>
      <c r="J3" s="41">
        <v>43525</v>
      </c>
      <c r="K3" s="41">
        <v>43556</v>
      </c>
      <c r="L3" s="41">
        <v>43586</v>
      </c>
      <c r="M3" s="41">
        <v>43617</v>
      </c>
      <c r="N3" s="41">
        <v>43647</v>
      </c>
      <c r="O3" s="41">
        <v>43678</v>
      </c>
      <c r="P3" s="41">
        <v>43709</v>
      </c>
      <c r="Q3" s="41">
        <v>43739</v>
      </c>
      <c r="R3" s="41">
        <v>43770</v>
      </c>
      <c r="S3" s="47">
        <v>43800</v>
      </c>
      <c r="T3" s="41">
        <v>43831</v>
      </c>
      <c r="U3" s="41">
        <v>43862</v>
      </c>
      <c r="V3" s="41">
        <v>43891</v>
      </c>
      <c r="W3" s="41">
        <v>43922</v>
      </c>
      <c r="X3" s="41">
        <v>43952</v>
      </c>
      <c r="Y3" s="41">
        <v>43983</v>
      </c>
      <c r="Z3" s="41">
        <v>44013</v>
      </c>
      <c r="AA3" s="41">
        <v>44044</v>
      </c>
      <c r="AB3" s="41">
        <v>44075</v>
      </c>
      <c r="AC3" s="41">
        <v>44105</v>
      </c>
      <c r="AD3" s="41">
        <v>44136</v>
      </c>
      <c r="AE3" s="47">
        <v>44166</v>
      </c>
      <c r="AF3" s="41">
        <v>44197</v>
      </c>
      <c r="AG3" s="41">
        <v>44228</v>
      </c>
      <c r="AH3" s="41">
        <v>44256</v>
      </c>
      <c r="AI3" s="41">
        <v>44287</v>
      </c>
      <c r="AJ3" s="41">
        <v>44317</v>
      </c>
      <c r="AK3" s="41">
        <v>44348</v>
      </c>
      <c r="AL3" s="41">
        <v>44378</v>
      </c>
      <c r="AM3" s="41">
        <v>44409</v>
      </c>
      <c r="AN3" s="41">
        <v>44440</v>
      </c>
      <c r="AO3" s="41">
        <v>44470</v>
      </c>
      <c r="AP3" s="41">
        <v>44501</v>
      </c>
      <c r="AQ3" s="47">
        <v>44531</v>
      </c>
      <c r="AR3" s="41">
        <v>44562</v>
      </c>
      <c r="AS3" s="41">
        <v>44593</v>
      </c>
      <c r="AT3" s="41">
        <v>44621</v>
      </c>
      <c r="AU3" s="41">
        <v>44652</v>
      </c>
      <c r="AV3" s="41">
        <v>44682</v>
      </c>
      <c r="AW3" s="41">
        <v>44713</v>
      </c>
      <c r="AX3" s="41">
        <v>44743</v>
      </c>
      <c r="AY3" s="41">
        <v>44774</v>
      </c>
      <c r="AZ3" s="41">
        <v>44805</v>
      </c>
      <c r="BA3" s="41">
        <v>44835</v>
      </c>
      <c r="BB3" s="41">
        <v>44866</v>
      </c>
      <c r="BC3" s="47">
        <v>44896</v>
      </c>
    </row>
    <row r="4" spans="2:55" s="54" customFormat="1" ht="13.5" thickBot="1" x14ac:dyDescent="0.25">
      <c r="B4" s="55" t="s">
        <v>147</v>
      </c>
      <c r="C4" s="144">
        <v>1</v>
      </c>
      <c r="D4" s="55"/>
      <c r="E4" s="55"/>
      <c r="F4" s="55"/>
      <c r="G4" s="60"/>
      <c r="H4" s="56" t="s">
        <v>11</v>
      </c>
      <c r="I4" s="56" t="s">
        <v>11</v>
      </c>
      <c r="J4" s="56" t="s">
        <v>11</v>
      </c>
      <c r="K4" s="56" t="s">
        <v>11</v>
      </c>
      <c r="L4" s="56" t="s">
        <v>11</v>
      </c>
      <c r="M4" s="56" t="s">
        <v>11</v>
      </c>
      <c r="N4" s="56" t="s">
        <v>11</v>
      </c>
      <c r="O4" s="56" t="s">
        <v>11</v>
      </c>
      <c r="P4" s="56" t="s">
        <v>11</v>
      </c>
      <c r="Q4" s="56" t="s">
        <v>11</v>
      </c>
      <c r="R4" s="56" t="s">
        <v>11</v>
      </c>
      <c r="S4" s="56" t="s">
        <v>11</v>
      </c>
      <c r="T4" s="56" t="s">
        <v>2</v>
      </c>
      <c r="U4" s="56" t="s">
        <v>2</v>
      </c>
      <c r="V4" s="56" t="s">
        <v>2</v>
      </c>
      <c r="W4" s="56" t="s">
        <v>2</v>
      </c>
      <c r="X4" s="56" t="s">
        <v>2</v>
      </c>
      <c r="Y4" s="56" t="s">
        <v>2</v>
      </c>
      <c r="Z4" s="56" t="s">
        <v>2</v>
      </c>
      <c r="AA4" s="56" t="s">
        <v>2</v>
      </c>
      <c r="AB4" s="56" t="s">
        <v>2</v>
      </c>
      <c r="AC4" s="56" t="s">
        <v>2</v>
      </c>
      <c r="AD4" s="56" t="s">
        <v>2</v>
      </c>
      <c r="AE4" s="56" t="s">
        <v>2</v>
      </c>
      <c r="AF4" s="56" t="s">
        <v>2</v>
      </c>
      <c r="AG4" s="56" t="s">
        <v>2</v>
      </c>
      <c r="AH4" s="56" t="s">
        <v>2</v>
      </c>
      <c r="AI4" s="56" t="s">
        <v>2</v>
      </c>
      <c r="AJ4" s="56" t="s">
        <v>2</v>
      </c>
      <c r="AK4" s="56" t="s">
        <v>2</v>
      </c>
      <c r="AL4" s="56" t="s">
        <v>2</v>
      </c>
      <c r="AM4" s="56" t="s">
        <v>2</v>
      </c>
      <c r="AN4" s="56" t="s">
        <v>2</v>
      </c>
      <c r="AO4" s="56" t="s">
        <v>2</v>
      </c>
      <c r="AP4" s="56" t="s">
        <v>2</v>
      </c>
      <c r="AQ4" s="56" t="s">
        <v>2</v>
      </c>
      <c r="AR4" s="56" t="s">
        <v>2</v>
      </c>
      <c r="AS4" s="56" t="s">
        <v>2</v>
      </c>
      <c r="AT4" s="56" t="s">
        <v>2</v>
      </c>
      <c r="AU4" s="56" t="s">
        <v>2</v>
      </c>
      <c r="AV4" s="56" t="s">
        <v>2</v>
      </c>
      <c r="AW4" s="56" t="s">
        <v>2</v>
      </c>
      <c r="AX4" s="56" t="s">
        <v>2</v>
      </c>
      <c r="AY4" s="56" t="s">
        <v>2</v>
      </c>
      <c r="AZ4" s="56" t="s">
        <v>2</v>
      </c>
      <c r="BA4" s="56" t="s">
        <v>2</v>
      </c>
      <c r="BB4" s="56" t="s">
        <v>2</v>
      </c>
      <c r="BC4" s="56" t="s">
        <v>2</v>
      </c>
    </row>
    <row r="5" spans="2:55" x14ac:dyDescent="0.25">
      <c r="H5" s="12"/>
      <c r="I5" s="12"/>
      <c r="J5" s="12"/>
      <c r="K5" s="12"/>
      <c r="L5" s="12"/>
      <c r="M5" s="1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</row>
    <row r="6" spans="2:55" s="58" customFormat="1" ht="12.75" x14ac:dyDescent="0.2">
      <c r="B6" s="58" t="s">
        <v>131</v>
      </c>
      <c r="C6" s="58">
        <f>SUM(H6:S6)</f>
        <v>365</v>
      </c>
      <c r="D6" s="58">
        <f>SUM(T6:AE6)</f>
        <v>366</v>
      </c>
      <c r="E6" s="58">
        <f>SUM(AF6:AQ6)</f>
        <v>365</v>
      </c>
      <c r="F6" s="58">
        <f>SUM(AR6:BC6)</f>
        <v>365</v>
      </c>
      <c r="G6" s="59"/>
      <c r="H6" s="57">
        <f>_xlfn.DAYS(EOMONTH(H3,0),H3)+1</f>
        <v>31</v>
      </c>
      <c r="I6" s="58">
        <f t="shared" ref="I6:BC6" si="0">_xlfn.DAYS(EOMONTH(I3,0),I3)+1</f>
        <v>28</v>
      </c>
      <c r="J6" s="58">
        <f t="shared" si="0"/>
        <v>31</v>
      </c>
      <c r="K6" s="58">
        <f t="shared" si="0"/>
        <v>30</v>
      </c>
      <c r="L6" s="58">
        <f t="shared" si="0"/>
        <v>31</v>
      </c>
      <c r="M6" s="58">
        <f t="shared" si="0"/>
        <v>30</v>
      </c>
      <c r="N6" s="59">
        <f t="shared" si="0"/>
        <v>31</v>
      </c>
      <c r="O6" s="59">
        <f t="shared" si="0"/>
        <v>31</v>
      </c>
      <c r="P6" s="59">
        <f t="shared" si="0"/>
        <v>30</v>
      </c>
      <c r="Q6" s="59">
        <f t="shared" si="0"/>
        <v>31</v>
      </c>
      <c r="R6" s="59">
        <f t="shared" si="0"/>
        <v>30</v>
      </c>
      <c r="S6" s="59">
        <f t="shared" si="0"/>
        <v>31</v>
      </c>
      <c r="T6" s="59">
        <f t="shared" si="0"/>
        <v>31</v>
      </c>
      <c r="U6" s="59">
        <f t="shared" si="0"/>
        <v>29</v>
      </c>
      <c r="V6" s="59">
        <f t="shared" si="0"/>
        <v>31</v>
      </c>
      <c r="W6" s="59">
        <f t="shared" si="0"/>
        <v>30</v>
      </c>
      <c r="X6" s="59">
        <f t="shared" si="0"/>
        <v>31</v>
      </c>
      <c r="Y6" s="59">
        <f t="shared" si="0"/>
        <v>30</v>
      </c>
      <c r="Z6" s="59">
        <f t="shared" si="0"/>
        <v>31</v>
      </c>
      <c r="AA6" s="59">
        <f t="shared" si="0"/>
        <v>31</v>
      </c>
      <c r="AB6" s="59">
        <f t="shared" si="0"/>
        <v>30</v>
      </c>
      <c r="AC6" s="59">
        <f t="shared" si="0"/>
        <v>31</v>
      </c>
      <c r="AD6" s="59">
        <f t="shared" si="0"/>
        <v>30</v>
      </c>
      <c r="AE6" s="59">
        <f t="shared" si="0"/>
        <v>31</v>
      </c>
      <c r="AF6" s="59">
        <f t="shared" si="0"/>
        <v>31</v>
      </c>
      <c r="AG6" s="59">
        <f t="shared" si="0"/>
        <v>28</v>
      </c>
      <c r="AH6" s="59">
        <f t="shared" si="0"/>
        <v>31</v>
      </c>
      <c r="AI6" s="59">
        <f t="shared" si="0"/>
        <v>30</v>
      </c>
      <c r="AJ6" s="59">
        <f t="shared" si="0"/>
        <v>31</v>
      </c>
      <c r="AK6" s="59">
        <f t="shared" si="0"/>
        <v>30</v>
      </c>
      <c r="AL6" s="59">
        <f t="shared" si="0"/>
        <v>31</v>
      </c>
      <c r="AM6" s="59">
        <f t="shared" si="0"/>
        <v>31</v>
      </c>
      <c r="AN6" s="59">
        <f t="shared" si="0"/>
        <v>30</v>
      </c>
      <c r="AO6" s="59">
        <f t="shared" si="0"/>
        <v>31</v>
      </c>
      <c r="AP6" s="59">
        <f t="shared" si="0"/>
        <v>30</v>
      </c>
      <c r="AQ6" s="59">
        <f t="shared" si="0"/>
        <v>31</v>
      </c>
      <c r="AR6" s="59">
        <f t="shared" si="0"/>
        <v>31</v>
      </c>
      <c r="AS6" s="59">
        <f t="shared" si="0"/>
        <v>28</v>
      </c>
      <c r="AT6" s="59">
        <f t="shared" si="0"/>
        <v>31</v>
      </c>
      <c r="AU6" s="59">
        <f t="shared" si="0"/>
        <v>30</v>
      </c>
      <c r="AV6" s="59">
        <f t="shared" si="0"/>
        <v>31</v>
      </c>
      <c r="AW6" s="59">
        <f t="shared" si="0"/>
        <v>30</v>
      </c>
      <c r="AX6" s="59">
        <f t="shared" si="0"/>
        <v>31</v>
      </c>
      <c r="AY6" s="59">
        <f t="shared" si="0"/>
        <v>31</v>
      </c>
      <c r="AZ6" s="59">
        <f t="shared" si="0"/>
        <v>30</v>
      </c>
      <c r="BA6" s="59">
        <f t="shared" si="0"/>
        <v>31</v>
      </c>
      <c r="BB6" s="59">
        <f t="shared" si="0"/>
        <v>30</v>
      </c>
      <c r="BC6" s="59">
        <f t="shared" si="0"/>
        <v>31</v>
      </c>
    </row>
    <row r="7" spans="2:55" x14ac:dyDescent="0.25">
      <c r="C7" s="6"/>
      <c r="D7" s="6"/>
      <c r="E7" s="6"/>
      <c r="F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</row>
    <row r="8" spans="2:55" s="69" customFormat="1" x14ac:dyDescent="0.25">
      <c r="B8" s="70" t="s">
        <v>149</v>
      </c>
      <c r="C8" s="67"/>
      <c r="D8" s="67"/>
      <c r="E8" s="67"/>
      <c r="F8" s="67"/>
      <c r="G8" s="68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</row>
    <row r="9" spans="2:55" x14ac:dyDescent="0.25">
      <c r="C9" s="6"/>
      <c r="D9" s="6"/>
      <c r="E9" s="6"/>
      <c r="F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</row>
    <row r="10" spans="2:55" s="85" customFormat="1" x14ac:dyDescent="0.25">
      <c r="B10" s="85" t="s">
        <v>79</v>
      </c>
      <c r="C10" s="85">
        <f>AVERAGE(H10:S10)</f>
        <v>7131.583333333333</v>
      </c>
      <c r="D10" s="85">
        <f>AVERAGE(T10:AE10)</f>
        <v>8080.465757263607</v>
      </c>
      <c r="E10" s="85">
        <f>AVERAGE(AF10:AQ10)</f>
        <v>8208.0854811861318</v>
      </c>
      <c r="F10" s="85">
        <f>AVERAGE(AR10:BC10)</f>
        <v>8213.7474935735281</v>
      </c>
      <c r="G10" s="139"/>
      <c r="H10" s="73">
        <v>3943</v>
      </c>
      <c r="I10" s="73">
        <v>3457</v>
      </c>
      <c r="J10" s="73">
        <v>3810</v>
      </c>
      <c r="K10" s="73">
        <v>4158</v>
      </c>
      <c r="L10" s="73">
        <v>5402</v>
      </c>
      <c r="M10" s="73">
        <v>8319</v>
      </c>
      <c r="N10" s="77">
        <v>10817</v>
      </c>
      <c r="O10" s="77">
        <v>10970</v>
      </c>
      <c r="P10" s="77">
        <v>9757</v>
      </c>
      <c r="Q10" s="77">
        <v>8343</v>
      </c>
      <c r="R10" s="77">
        <v>9261</v>
      </c>
      <c r="S10" s="77">
        <v>7342</v>
      </c>
      <c r="T10" s="139">
        <f>AVERAGE(H10:S10)</f>
        <v>7131.583333333333</v>
      </c>
      <c r="U10" s="139">
        <f t="shared" ref="U10:BC10" si="1">AVERAGE(I10:T10)</f>
        <v>7397.2986111111104</v>
      </c>
      <c r="V10" s="139">
        <f t="shared" si="1"/>
        <v>7725.6568287037035</v>
      </c>
      <c r="W10" s="139">
        <f t="shared" si="1"/>
        <v>8051.9615644290125</v>
      </c>
      <c r="X10" s="139">
        <f t="shared" si="1"/>
        <v>8376.4583614647636</v>
      </c>
      <c r="Y10" s="139">
        <f t="shared" si="1"/>
        <v>8624.3298915868272</v>
      </c>
      <c r="Z10" s="139">
        <f t="shared" si="1"/>
        <v>8649.7740492190642</v>
      </c>
      <c r="AA10" s="139">
        <f t="shared" si="1"/>
        <v>8469.1718866539832</v>
      </c>
      <c r="AB10" s="139">
        <f t="shared" si="1"/>
        <v>8260.7695438751489</v>
      </c>
      <c r="AC10" s="139">
        <f t="shared" si="1"/>
        <v>8136.083672531412</v>
      </c>
      <c r="AD10" s="139">
        <f t="shared" si="1"/>
        <v>8118.8406452423633</v>
      </c>
      <c r="AE10" s="139">
        <f t="shared" si="1"/>
        <v>8023.6606990125611</v>
      </c>
      <c r="AF10" s="139">
        <f t="shared" si="1"/>
        <v>8080.465757263607</v>
      </c>
      <c r="AG10" s="139">
        <f t="shared" si="1"/>
        <v>8159.5392925911301</v>
      </c>
      <c r="AH10" s="139">
        <f t="shared" si="1"/>
        <v>8223.0593493811302</v>
      </c>
      <c r="AI10" s="139">
        <f t="shared" si="1"/>
        <v>8264.5095594375834</v>
      </c>
      <c r="AJ10" s="139">
        <f t="shared" si="1"/>
        <v>8282.2218923549644</v>
      </c>
      <c r="AK10" s="139">
        <f t="shared" si="1"/>
        <v>8274.3688532624819</v>
      </c>
      <c r="AL10" s="139">
        <f t="shared" si="1"/>
        <v>8245.2054334021195</v>
      </c>
      <c r="AM10" s="139">
        <f t="shared" si="1"/>
        <v>8211.4913820840411</v>
      </c>
      <c r="AN10" s="139">
        <f t="shared" si="1"/>
        <v>8190.0180067032124</v>
      </c>
      <c r="AO10" s="139">
        <f t="shared" si="1"/>
        <v>8184.1220452722191</v>
      </c>
      <c r="AP10" s="139">
        <f t="shared" si="1"/>
        <v>8188.125243000617</v>
      </c>
      <c r="AQ10" s="139">
        <f t="shared" si="1"/>
        <v>8193.8989594804716</v>
      </c>
      <c r="AR10" s="139">
        <f t="shared" si="1"/>
        <v>8208.0854811861318</v>
      </c>
      <c r="AS10" s="139">
        <f t="shared" si="1"/>
        <v>8218.7204581796741</v>
      </c>
      <c r="AT10" s="139">
        <f t="shared" si="1"/>
        <v>8223.6522219787203</v>
      </c>
      <c r="AU10" s="139">
        <f t="shared" si="1"/>
        <v>8223.7016280285188</v>
      </c>
      <c r="AV10" s="139">
        <f t="shared" si="1"/>
        <v>8220.3009670777628</v>
      </c>
      <c r="AW10" s="139">
        <f t="shared" si="1"/>
        <v>8215.1408899713297</v>
      </c>
      <c r="AX10" s="139">
        <f t="shared" si="1"/>
        <v>8210.2052263637343</v>
      </c>
      <c r="AY10" s="139">
        <f t="shared" si="1"/>
        <v>8207.28854244387</v>
      </c>
      <c r="AZ10" s="139">
        <f t="shared" si="1"/>
        <v>8206.938305807189</v>
      </c>
      <c r="BA10" s="139">
        <f t="shared" si="1"/>
        <v>8208.3483307325205</v>
      </c>
      <c r="BB10" s="139">
        <f t="shared" si="1"/>
        <v>8210.3671878542118</v>
      </c>
      <c r="BC10" s="139">
        <f t="shared" si="1"/>
        <v>8212.2206832586762</v>
      </c>
    </row>
    <row r="11" spans="2:55" s="78" customFormat="1" ht="12.75" x14ac:dyDescent="0.2">
      <c r="G11" s="80"/>
      <c r="H11" s="79"/>
      <c r="I11" s="79"/>
      <c r="J11" s="79"/>
      <c r="K11" s="79"/>
      <c r="L11" s="79"/>
      <c r="M11" s="79"/>
      <c r="N11" s="81"/>
      <c r="O11" s="81"/>
      <c r="P11" s="81"/>
      <c r="Q11" s="81"/>
      <c r="R11" s="81"/>
      <c r="S11" s="81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</row>
    <row r="12" spans="2:55" s="68" customFormat="1" x14ac:dyDescent="0.25">
      <c r="B12" s="117" t="s">
        <v>70</v>
      </c>
    </row>
    <row r="13" spans="2:55" x14ac:dyDescent="0.25">
      <c r="B13" t="s">
        <v>71</v>
      </c>
      <c r="C13" s="71" t="s">
        <v>72</v>
      </c>
      <c r="D13" s="72" t="s">
        <v>72</v>
      </c>
      <c r="E13" s="72" t="s">
        <v>72</v>
      </c>
      <c r="F13" s="72" t="s">
        <v>72</v>
      </c>
      <c r="H13" s="52">
        <v>6.06</v>
      </c>
      <c r="I13" s="52">
        <v>6.07</v>
      </c>
      <c r="J13" s="52">
        <v>6.39</v>
      </c>
      <c r="K13" s="52">
        <v>6.35</v>
      </c>
      <c r="L13" s="52">
        <v>7.46</v>
      </c>
      <c r="M13" s="52">
        <v>7.96</v>
      </c>
      <c r="N13" s="53">
        <v>9.01</v>
      </c>
      <c r="O13" s="53">
        <v>10.68</v>
      </c>
      <c r="P13" s="53">
        <v>12.75</v>
      </c>
      <c r="Q13" s="53">
        <v>13.69</v>
      </c>
      <c r="R13" s="53">
        <v>12.97</v>
      </c>
      <c r="S13" s="53">
        <v>13.79</v>
      </c>
    </row>
    <row r="14" spans="2:55" x14ac:dyDescent="0.25">
      <c r="B14" t="s">
        <v>145</v>
      </c>
      <c r="C14" s="6">
        <f>AVERAGE(H14:S14)</f>
        <v>8.0488228316019705E-2</v>
      </c>
      <c r="D14" s="6">
        <f>AVERAGE(T14:AE14)</f>
        <v>8.0488228316019719E-2</v>
      </c>
      <c r="E14" s="6">
        <f>AVERAGE(AF14:AQ14)</f>
        <v>8.0488228316019719E-2</v>
      </c>
      <c r="F14" s="6">
        <f>AVERAGE(AG14:AR14)</f>
        <v>8.0488228316019719E-2</v>
      </c>
      <c r="I14" s="6">
        <f>(I13-H13)/H13</f>
        <v>1.6501650165017616E-3</v>
      </c>
      <c r="J14" s="6">
        <f>(J13-I13)/I13</f>
        <v>5.2718286655683587E-2</v>
      </c>
      <c r="K14" s="6">
        <f>(K13-J13)/J13</f>
        <v>-6.2597809076682378E-3</v>
      </c>
      <c r="L14" s="6">
        <f>(L13-K13)/K13</f>
        <v>0.17480314960629928</v>
      </c>
      <c r="M14" s="6">
        <f>(M13-L13)/L13</f>
        <v>6.7024128686327081E-2</v>
      </c>
      <c r="N14" s="6">
        <f t="shared" ref="N14:S14" si="2">(N13-M13)/M13</f>
        <v>0.13190954773869346</v>
      </c>
      <c r="O14" s="6">
        <f t="shared" si="2"/>
        <v>0.1853496115427303</v>
      </c>
      <c r="P14" s="6">
        <f t="shared" si="2"/>
        <v>0.19382022471910115</v>
      </c>
      <c r="Q14" s="6">
        <f t="shared" si="2"/>
        <v>7.3725490196078394E-2</v>
      </c>
      <c r="R14" s="6">
        <f t="shared" si="2"/>
        <v>-5.2593133674214677E-2</v>
      </c>
      <c r="S14" s="6">
        <f t="shared" si="2"/>
        <v>6.3222821896684545E-2</v>
      </c>
      <c r="T14" s="45">
        <f>AVERAGE(H14:S14)</f>
        <v>8.0488228316019705E-2</v>
      </c>
      <c r="U14" s="45">
        <f t="shared" ref="U14:AQ14" si="3">T14</f>
        <v>8.0488228316019705E-2</v>
      </c>
      <c r="V14" s="45">
        <f t="shared" si="3"/>
        <v>8.0488228316019705E-2</v>
      </c>
      <c r="W14" s="45">
        <f t="shared" si="3"/>
        <v>8.0488228316019705E-2</v>
      </c>
      <c r="X14" s="45">
        <f t="shared" si="3"/>
        <v>8.0488228316019705E-2</v>
      </c>
      <c r="Y14" s="45">
        <f t="shared" si="3"/>
        <v>8.0488228316019705E-2</v>
      </c>
      <c r="Z14" s="45">
        <f t="shared" si="3"/>
        <v>8.0488228316019705E-2</v>
      </c>
      <c r="AA14" s="45">
        <f t="shared" si="3"/>
        <v>8.0488228316019705E-2</v>
      </c>
      <c r="AB14" s="45">
        <f t="shared" si="3"/>
        <v>8.0488228316019705E-2</v>
      </c>
      <c r="AC14" s="45">
        <f t="shared" si="3"/>
        <v>8.0488228316019705E-2</v>
      </c>
      <c r="AD14" s="45">
        <f t="shared" si="3"/>
        <v>8.0488228316019705E-2</v>
      </c>
      <c r="AE14" s="45">
        <f t="shared" si="3"/>
        <v>8.0488228316019705E-2</v>
      </c>
      <c r="AF14" s="45">
        <f t="shared" si="3"/>
        <v>8.0488228316019705E-2</v>
      </c>
      <c r="AG14" s="45">
        <f t="shared" si="3"/>
        <v>8.0488228316019705E-2</v>
      </c>
      <c r="AH14" s="45">
        <f t="shared" si="3"/>
        <v>8.0488228316019705E-2</v>
      </c>
      <c r="AI14" s="45">
        <f t="shared" si="3"/>
        <v>8.0488228316019705E-2</v>
      </c>
      <c r="AJ14" s="45">
        <f t="shared" si="3"/>
        <v>8.0488228316019705E-2</v>
      </c>
      <c r="AK14" s="45">
        <f t="shared" si="3"/>
        <v>8.0488228316019705E-2</v>
      </c>
      <c r="AL14" s="45">
        <f t="shared" si="3"/>
        <v>8.0488228316019705E-2</v>
      </c>
      <c r="AM14" s="45">
        <f t="shared" si="3"/>
        <v>8.0488228316019705E-2</v>
      </c>
      <c r="AN14" s="45">
        <f t="shared" si="3"/>
        <v>8.0488228316019705E-2</v>
      </c>
      <c r="AO14" s="45">
        <f t="shared" si="3"/>
        <v>8.0488228316019705E-2</v>
      </c>
      <c r="AP14" s="45">
        <f t="shared" si="3"/>
        <v>8.0488228316019705E-2</v>
      </c>
      <c r="AQ14" s="45">
        <f t="shared" si="3"/>
        <v>8.0488228316019705E-2</v>
      </c>
      <c r="AR14" s="45">
        <f t="shared" ref="AR14" si="4">AQ14</f>
        <v>8.0488228316019705E-2</v>
      </c>
      <c r="AS14" s="45">
        <f t="shared" ref="AS14" si="5">AR14</f>
        <v>8.0488228316019705E-2</v>
      </c>
      <c r="AT14" s="45">
        <f t="shared" ref="AT14" si="6">AS14</f>
        <v>8.0488228316019705E-2</v>
      </c>
      <c r="AU14" s="45">
        <f t="shared" ref="AU14" si="7">AT14</f>
        <v>8.0488228316019705E-2</v>
      </c>
      <c r="AV14" s="45">
        <f t="shared" ref="AV14" si="8">AU14</f>
        <v>8.0488228316019705E-2</v>
      </c>
      <c r="AW14" s="45">
        <f t="shared" ref="AW14" si="9">AV14</f>
        <v>8.0488228316019705E-2</v>
      </c>
      <c r="AX14" s="45">
        <f t="shared" ref="AX14" si="10">AW14</f>
        <v>8.0488228316019705E-2</v>
      </c>
      <c r="AY14" s="45">
        <f t="shared" ref="AY14" si="11">AX14</f>
        <v>8.0488228316019705E-2</v>
      </c>
      <c r="AZ14" s="45">
        <f t="shared" ref="AZ14" si="12">AY14</f>
        <v>8.0488228316019705E-2</v>
      </c>
      <c r="BA14" s="45">
        <f t="shared" ref="BA14" si="13">AZ14</f>
        <v>8.0488228316019705E-2</v>
      </c>
      <c r="BB14" s="45">
        <f t="shared" ref="BB14" si="14">BA14</f>
        <v>8.0488228316019705E-2</v>
      </c>
      <c r="BC14" s="45">
        <f t="shared" ref="BC14" si="15">BB14</f>
        <v>8.0488228316019705E-2</v>
      </c>
    </row>
    <row r="16" spans="2:55" x14ac:dyDescent="0.25">
      <c r="B16" s="48" t="s">
        <v>150</v>
      </c>
      <c r="C16" s="142"/>
      <c r="D16" s="142"/>
      <c r="E16" s="142"/>
      <c r="F16" s="142"/>
      <c r="H16" s="18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143"/>
      <c r="AN16" s="143"/>
      <c r="AO16" s="143"/>
      <c r="AP16" s="143"/>
      <c r="AQ16" s="143"/>
      <c r="AR16" s="143"/>
      <c r="AS16" s="143"/>
      <c r="AT16" s="143"/>
      <c r="AU16" s="143"/>
      <c r="AV16" s="143"/>
      <c r="AW16" s="143"/>
      <c r="AX16" s="143"/>
      <c r="AY16" s="143"/>
      <c r="AZ16" s="143"/>
      <c r="BA16" s="143"/>
      <c r="BB16" s="143"/>
      <c r="BC16" s="143"/>
    </row>
    <row r="17" spans="2:55" s="85" customFormat="1" x14ac:dyDescent="0.25">
      <c r="B17" s="85" t="s">
        <v>79</v>
      </c>
      <c r="C17" s="85">
        <f>AVERAGE(H17:S17)</f>
        <v>7131.583333333333</v>
      </c>
      <c r="D17" s="85">
        <f>AVERAGE(T17:AE17)</f>
        <v>8080.465757263607</v>
      </c>
      <c r="E17" s="85">
        <f>AVERAGE(AF17:AQ17)</f>
        <v>8208.0854811861318</v>
      </c>
      <c r="F17" s="85">
        <f>AVERAGE(AR17:BC17)</f>
        <v>8213.7474935735281</v>
      </c>
      <c r="G17" s="139"/>
      <c r="H17" s="85">
        <f>H10</f>
        <v>3943</v>
      </c>
      <c r="I17" s="85">
        <f>I10</f>
        <v>3457</v>
      </c>
      <c r="J17" s="85">
        <f>J10</f>
        <v>3810</v>
      </c>
      <c r="K17" s="85">
        <f>K10</f>
        <v>4158</v>
      </c>
      <c r="L17" s="85">
        <f>L10</f>
        <v>5402</v>
      </c>
      <c r="M17" s="85">
        <f>M10</f>
        <v>8319</v>
      </c>
      <c r="N17" s="85">
        <f>N10</f>
        <v>10817</v>
      </c>
      <c r="O17" s="85">
        <f>O10</f>
        <v>10970</v>
      </c>
      <c r="P17" s="85">
        <f>P10</f>
        <v>9757</v>
      </c>
      <c r="Q17" s="85">
        <f>Q10</f>
        <v>8343</v>
      </c>
      <c r="R17" s="85">
        <f>R10</f>
        <v>9261</v>
      </c>
      <c r="S17" s="85">
        <f>S10</f>
        <v>7342</v>
      </c>
      <c r="T17" s="85">
        <f>T10</f>
        <v>7131.583333333333</v>
      </c>
      <c r="U17" s="85">
        <f>U10</f>
        <v>7397.2986111111104</v>
      </c>
      <c r="V17" s="85">
        <f>V10</f>
        <v>7725.6568287037035</v>
      </c>
      <c r="W17" s="85">
        <f>W10</f>
        <v>8051.9615644290125</v>
      </c>
      <c r="X17" s="85">
        <f>X10</f>
        <v>8376.4583614647636</v>
      </c>
      <c r="Y17" s="85">
        <f>Y10</f>
        <v>8624.3298915868272</v>
      </c>
      <c r="Z17" s="85">
        <f>Z10</f>
        <v>8649.7740492190642</v>
      </c>
      <c r="AA17" s="85">
        <f>AA10</f>
        <v>8469.1718866539832</v>
      </c>
      <c r="AB17" s="85">
        <f>AB10</f>
        <v>8260.7695438751489</v>
      </c>
      <c r="AC17" s="85">
        <f>AC10</f>
        <v>8136.083672531412</v>
      </c>
      <c r="AD17" s="85">
        <f>AD10</f>
        <v>8118.8406452423633</v>
      </c>
      <c r="AE17" s="85">
        <f>AE10</f>
        <v>8023.6606990125611</v>
      </c>
      <c r="AF17" s="85">
        <f>AF10</f>
        <v>8080.465757263607</v>
      </c>
      <c r="AG17" s="85">
        <f>AG10</f>
        <v>8159.5392925911301</v>
      </c>
      <c r="AH17" s="85">
        <f>AH10</f>
        <v>8223.0593493811302</v>
      </c>
      <c r="AI17" s="85">
        <f>AI10</f>
        <v>8264.5095594375834</v>
      </c>
      <c r="AJ17" s="85">
        <f>AJ10</f>
        <v>8282.2218923549644</v>
      </c>
      <c r="AK17" s="85">
        <f>AK10</f>
        <v>8274.3688532624819</v>
      </c>
      <c r="AL17" s="85">
        <f>AL10</f>
        <v>8245.2054334021195</v>
      </c>
      <c r="AM17" s="85">
        <f>AM10</f>
        <v>8211.4913820840411</v>
      </c>
      <c r="AN17" s="85">
        <f>AN10</f>
        <v>8190.0180067032124</v>
      </c>
      <c r="AO17" s="85">
        <f>AO10</f>
        <v>8184.1220452722191</v>
      </c>
      <c r="AP17" s="85">
        <f>AP10</f>
        <v>8188.125243000617</v>
      </c>
      <c r="AQ17" s="85">
        <f>AQ10</f>
        <v>8193.8989594804716</v>
      </c>
      <c r="AR17" s="85">
        <f>AR10</f>
        <v>8208.0854811861318</v>
      </c>
      <c r="AS17" s="85">
        <f>AS10</f>
        <v>8218.7204581796741</v>
      </c>
      <c r="AT17" s="85">
        <f>AT10</f>
        <v>8223.6522219787203</v>
      </c>
      <c r="AU17" s="85">
        <f>AU10</f>
        <v>8223.7016280285188</v>
      </c>
      <c r="AV17" s="85">
        <f>AV10</f>
        <v>8220.3009670777628</v>
      </c>
      <c r="AW17" s="85">
        <f>AW10</f>
        <v>8215.1408899713297</v>
      </c>
      <c r="AX17" s="85">
        <f>AX10</f>
        <v>8210.2052263637343</v>
      </c>
      <c r="AY17" s="85">
        <f>AY10</f>
        <v>8207.28854244387</v>
      </c>
      <c r="AZ17" s="85">
        <f>AZ10</f>
        <v>8206.938305807189</v>
      </c>
      <c r="BA17" s="85">
        <f>BA10</f>
        <v>8208.3483307325205</v>
      </c>
      <c r="BB17" s="85">
        <f>BB10</f>
        <v>8210.3671878542118</v>
      </c>
      <c r="BC17" s="85">
        <f>BC10</f>
        <v>8212.2206832586762</v>
      </c>
    </row>
    <row r="18" spans="2:55" x14ac:dyDescent="0.25">
      <c r="B18" s="82" t="s">
        <v>148</v>
      </c>
      <c r="C18" s="6">
        <f>AVERAGE(H18:S18)</f>
        <v>7.3780875956351397E-2</v>
      </c>
      <c r="D18" s="6">
        <f>AVERAGE(T18:AE18)</f>
        <v>8.0488228316019719E-2</v>
      </c>
      <c r="E18" s="6">
        <f>AVERAGE(AF18:AQ18)</f>
        <v>8.0488228316019719E-2</v>
      </c>
      <c r="F18" s="6">
        <f>AVERAGE(AG18:AR18)</f>
        <v>8.0488228316019719E-2</v>
      </c>
      <c r="H18" s="6">
        <f>H14</f>
        <v>0</v>
      </c>
      <c r="I18" s="6">
        <f>I14</f>
        <v>1.6501650165017616E-3</v>
      </c>
      <c r="J18" s="6">
        <f>J14</f>
        <v>5.2718286655683587E-2</v>
      </c>
      <c r="K18" s="6">
        <f>K14</f>
        <v>-6.2597809076682378E-3</v>
      </c>
      <c r="L18" s="6">
        <f>L14</f>
        <v>0.17480314960629928</v>
      </c>
      <c r="M18" s="6">
        <f>M14</f>
        <v>6.7024128686327081E-2</v>
      </c>
      <c r="N18" s="6">
        <f>N14</f>
        <v>0.13190954773869346</v>
      </c>
      <c r="O18" s="6">
        <f>O14</f>
        <v>0.1853496115427303</v>
      </c>
      <c r="P18" s="6">
        <f>P14</f>
        <v>0.19382022471910115</v>
      </c>
      <c r="Q18" s="6">
        <f>Q14</f>
        <v>7.3725490196078394E-2</v>
      </c>
      <c r="R18" s="6">
        <f>R14</f>
        <v>-5.2593133674214677E-2</v>
      </c>
      <c r="S18" s="6">
        <f>S14</f>
        <v>6.3222821896684545E-2</v>
      </c>
      <c r="T18" s="6">
        <f>T14</f>
        <v>8.0488228316019705E-2</v>
      </c>
      <c r="U18" s="6">
        <f>U14</f>
        <v>8.0488228316019705E-2</v>
      </c>
      <c r="V18" s="6">
        <f>V14</f>
        <v>8.0488228316019705E-2</v>
      </c>
      <c r="W18" s="6">
        <f>W14</f>
        <v>8.0488228316019705E-2</v>
      </c>
      <c r="X18" s="6">
        <f>X14</f>
        <v>8.0488228316019705E-2</v>
      </c>
      <c r="Y18" s="6">
        <f>Y14</f>
        <v>8.0488228316019705E-2</v>
      </c>
      <c r="Z18" s="6">
        <f>Z14</f>
        <v>8.0488228316019705E-2</v>
      </c>
      <c r="AA18" s="6">
        <f>AA14</f>
        <v>8.0488228316019705E-2</v>
      </c>
      <c r="AB18" s="6">
        <f>AB14</f>
        <v>8.0488228316019705E-2</v>
      </c>
      <c r="AC18" s="6">
        <f>AC14</f>
        <v>8.0488228316019705E-2</v>
      </c>
      <c r="AD18" s="6">
        <f>AD14</f>
        <v>8.0488228316019705E-2</v>
      </c>
      <c r="AE18" s="6">
        <f>AE14</f>
        <v>8.0488228316019705E-2</v>
      </c>
      <c r="AF18" s="6">
        <f>AF14</f>
        <v>8.0488228316019705E-2</v>
      </c>
      <c r="AG18" s="6">
        <f>AG14</f>
        <v>8.0488228316019705E-2</v>
      </c>
      <c r="AH18" s="6">
        <f>AH14</f>
        <v>8.0488228316019705E-2</v>
      </c>
      <c r="AI18" s="6">
        <f>AI14</f>
        <v>8.0488228316019705E-2</v>
      </c>
      <c r="AJ18" s="6">
        <f>AJ14</f>
        <v>8.0488228316019705E-2</v>
      </c>
      <c r="AK18" s="6">
        <f>AK14</f>
        <v>8.0488228316019705E-2</v>
      </c>
      <c r="AL18" s="6">
        <f>AL14</f>
        <v>8.0488228316019705E-2</v>
      </c>
      <c r="AM18" s="6">
        <f>AM14</f>
        <v>8.0488228316019705E-2</v>
      </c>
      <c r="AN18" s="6">
        <f>AN14</f>
        <v>8.0488228316019705E-2</v>
      </c>
      <c r="AO18" s="6">
        <f>AO14</f>
        <v>8.0488228316019705E-2</v>
      </c>
      <c r="AP18" s="6">
        <f>AP14</f>
        <v>8.0488228316019705E-2</v>
      </c>
      <c r="AQ18" s="6">
        <f>AQ14</f>
        <v>8.0488228316019705E-2</v>
      </c>
      <c r="AR18" s="6">
        <f>AR14</f>
        <v>8.0488228316019705E-2</v>
      </c>
      <c r="AS18" s="6">
        <f>AS14</f>
        <v>8.0488228316019705E-2</v>
      </c>
      <c r="AT18" s="6">
        <f>AT14</f>
        <v>8.0488228316019705E-2</v>
      </c>
      <c r="AU18" s="6">
        <f>AU14</f>
        <v>8.0488228316019705E-2</v>
      </c>
      <c r="AV18" s="6">
        <f>AV14</f>
        <v>8.0488228316019705E-2</v>
      </c>
      <c r="AW18" s="6">
        <f>AW14</f>
        <v>8.0488228316019705E-2</v>
      </c>
      <c r="AX18" s="6">
        <f>AX14</f>
        <v>8.0488228316019705E-2</v>
      </c>
      <c r="AY18" s="6">
        <f>AY14</f>
        <v>8.0488228316019705E-2</v>
      </c>
      <c r="AZ18" s="6">
        <f>AZ14</f>
        <v>8.0488228316019705E-2</v>
      </c>
      <c r="BA18" s="6">
        <f>BA14</f>
        <v>8.0488228316019705E-2</v>
      </c>
      <c r="BB18" s="6">
        <f>BB14</f>
        <v>8.0488228316019705E-2</v>
      </c>
      <c r="BC18" s="6">
        <f>BC14</f>
        <v>8.0488228316019705E-2</v>
      </c>
    </row>
    <row r="19" spans="2:55" x14ac:dyDescent="0.25">
      <c r="C19" s="6"/>
      <c r="D19" s="6"/>
      <c r="E19" s="6"/>
      <c r="F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</row>
    <row r="20" spans="2:55" x14ac:dyDescent="0.25">
      <c r="B20" s="48" t="s">
        <v>151</v>
      </c>
      <c r="C20" s="142"/>
      <c r="D20" s="142"/>
      <c r="E20" s="142"/>
      <c r="F20" s="142"/>
      <c r="H20" s="18"/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143"/>
      <c r="AN20" s="143"/>
      <c r="AO20" s="143"/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3"/>
      <c r="BA20" s="143"/>
      <c r="BB20" s="143"/>
      <c r="BC20" s="143"/>
    </row>
    <row r="21" spans="2:55" s="85" customFormat="1" x14ac:dyDescent="0.25">
      <c r="B21" s="85" t="s">
        <v>79</v>
      </c>
      <c r="C21" s="85">
        <f>AVERAGE(H21:S21)</f>
        <v>7131.583333333333</v>
      </c>
      <c r="D21" s="85">
        <f>AVERAGE(T21:AE21)</f>
        <v>8943.6514560038468</v>
      </c>
      <c r="E21" s="85">
        <f>AVERAGE(AF21:AQ21)</f>
        <v>12751.508431555172</v>
      </c>
      <c r="F21" s="85">
        <f>AVERAGE(AR21:BC21)</f>
        <v>18180.601970000633</v>
      </c>
      <c r="G21" s="139"/>
      <c r="H21" s="85">
        <v>3943</v>
      </c>
      <c r="I21" s="85">
        <v>3457</v>
      </c>
      <c r="J21" s="85">
        <v>3810</v>
      </c>
      <c r="K21" s="85">
        <v>4158</v>
      </c>
      <c r="L21" s="85">
        <v>5402</v>
      </c>
      <c r="M21" s="85">
        <v>8319</v>
      </c>
      <c r="N21" s="139">
        <v>10817</v>
      </c>
      <c r="O21" s="139">
        <v>10970</v>
      </c>
      <c r="P21" s="139">
        <v>9757</v>
      </c>
      <c r="Q21" s="139">
        <v>8343</v>
      </c>
      <c r="R21" s="139">
        <v>9261</v>
      </c>
      <c r="S21" s="139">
        <v>7342</v>
      </c>
      <c r="T21" s="77">
        <f>S21*1.03</f>
        <v>7562.26</v>
      </c>
      <c r="U21" s="77">
        <f t="shared" ref="U21:BC21" si="16">T21*1.03</f>
        <v>7789.1278000000002</v>
      </c>
      <c r="V21" s="77">
        <f t="shared" si="16"/>
        <v>8022.8016340000004</v>
      </c>
      <c r="W21" s="77">
        <f t="shared" si="16"/>
        <v>8263.4856830200006</v>
      </c>
      <c r="X21" s="77">
        <f t="shared" si="16"/>
        <v>8511.3902535106008</v>
      </c>
      <c r="Y21" s="77">
        <f t="shared" si="16"/>
        <v>8766.7319611159182</v>
      </c>
      <c r="Z21" s="77">
        <f t="shared" si="16"/>
        <v>9029.7339199493963</v>
      </c>
      <c r="AA21" s="77">
        <f t="shared" si="16"/>
        <v>9300.6259375478785</v>
      </c>
      <c r="AB21" s="77">
        <f t="shared" si="16"/>
        <v>9579.6447156743143</v>
      </c>
      <c r="AC21" s="77">
        <f t="shared" si="16"/>
        <v>9867.0340571445431</v>
      </c>
      <c r="AD21" s="77">
        <f t="shared" si="16"/>
        <v>10163.045078858881</v>
      </c>
      <c r="AE21" s="77">
        <f t="shared" si="16"/>
        <v>10467.936431224647</v>
      </c>
      <c r="AF21" s="77">
        <f t="shared" si="16"/>
        <v>10781.974524161387</v>
      </c>
      <c r="AG21" s="77">
        <f t="shared" si="16"/>
        <v>11105.433759886229</v>
      </c>
      <c r="AH21" s="77">
        <f t="shared" si="16"/>
        <v>11438.596772682817</v>
      </c>
      <c r="AI21" s="77">
        <f t="shared" si="16"/>
        <v>11781.754675863302</v>
      </c>
      <c r="AJ21" s="77">
        <f t="shared" si="16"/>
        <v>12135.207316139202</v>
      </c>
      <c r="AK21" s="77">
        <f t="shared" si="16"/>
        <v>12499.263535623379</v>
      </c>
      <c r="AL21" s="77">
        <f t="shared" si="16"/>
        <v>12874.24144169208</v>
      </c>
      <c r="AM21" s="77">
        <f t="shared" si="16"/>
        <v>13260.468684942844</v>
      </c>
      <c r="AN21" s="77">
        <f t="shared" si="16"/>
        <v>13658.282745491129</v>
      </c>
      <c r="AO21" s="77">
        <f t="shared" si="16"/>
        <v>14068.031227855863</v>
      </c>
      <c r="AP21" s="77">
        <f t="shared" si="16"/>
        <v>14490.072164691539</v>
      </c>
      <c r="AQ21" s="77">
        <f t="shared" si="16"/>
        <v>14924.774329632286</v>
      </c>
      <c r="AR21" s="77">
        <f t="shared" si="16"/>
        <v>15372.517559521255</v>
      </c>
      <c r="AS21" s="77">
        <f t="shared" si="16"/>
        <v>15833.693086306894</v>
      </c>
      <c r="AT21" s="77">
        <f t="shared" si="16"/>
        <v>16308.703878896102</v>
      </c>
      <c r="AU21" s="77">
        <f t="shared" si="16"/>
        <v>16797.964995262984</v>
      </c>
      <c r="AV21" s="77">
        <f t="shared" si="16"/>
        <v>17301.903945120874</v>
      </c>
      <c r="AW21" s="77">
        <f t="shared" si="16"/>
        <v>17820.9610634745</v>
      </c>
      <c r="AX21" s="77">
        <f t="shared" si="16"/>
        <v>18355.589895378736</v>
      </c>
      <c r="AY21" s="77">
        <f t="shared" si="16"/>
        <v>18906.257592240097</v>
      </c>
      <c r="AZ21" s="77">
        <f t="shared" si="16"/>
        <v>19473.4453200073</v>
      </c>
      <c r="BA21" s="77">
        <f t="shared" si="16"/>
        <v>20057.648679607519</v>
      </c>
      <c r="BB21" s="77">
        <f t="shared" si="16"/>
        <v>20659.378139995744</v>
      </c>
      <c r="BC21" s="77">
        <f t="shared" si="16"/>
        <v>21279.159484195618</v>
      </c>
    </row>
    <row r="22" spans="2:55" x14ac:dyDescent="0.25">
      <c r="B22" s="82" t="s">
        <v>148</v>
      </c>
      <c r="C22" s="6">
        <f>AVERAGE(H22:S22)</f>
        <v>7.3780875956351397E-2</v>
      </c>
      <c r="D22" s="6">
        <f>AVERAGE(T22:AE22)</f>
        <v>6.0000000000000019E-2</v>
      </c>
      <c r="E22" s="6">
        <f>AVERAGE(AF22:AQ22)</f>
        <v>6.0000000000000019E-2</v>
      </c>
      <c r="F22" s="6">
        <f>AVERAGE(AG22:AR22)</f>
        <v>6.0000000000000019E-2</v>
      </c>
      <c r="H22" s="6">
        <f>H14</f>
        <v>0</v>
      </c>
      <c r="I22" s="6">
        <f>I14</f>
        <v>1.6501650165017616E-3</v>
      </c>
      <c r="J22" s="6">
        <f>J14</f>
        <v>5.2718286655683587E-2</v>
      </c>
      <c r="K22" s="6">
        <f>K14</f>
        <v>-6.2597809076682378E-3</v>
      </c>
      <c r="L22" s="6">
        <f>L14</f>
        <v>0.17480314960629928</v>
      </c>
      <c r="M22" s="6">
        <f>M14</f>
        <v>6.7024128686327081E-2</v>
      </c>
      <c r="N22" s="6">
        <f>N14</f>
        <v>0.13190954773869346</v>
      </c>
      <c r="O22" s="6">
        <f>O14</f>
        <v>0.1853496115427303</v>
      </c>
      <c r="P22" s="6">
        <f>P14</f>
        <v>0.19382022471910115</v>
      </c>
      <c r="Q22" s="6">
        <f>Q14</f>
        <v>7.3725490196078394E-2</v>
      </c>
      <c r="R22" s="6">
        <f>R14</f>
        <v>-5.2593133674214677E-2</v>
      </c>
      <c r="S22" s="6">
        <f>S14</f>
        <v>6.3222821896684545E-2</v>
      </c>
      <c r="T22" s="140">
        <v>0.06</v>
      </c>
      <c r="U22" s="140">
        <f>T22</f>
        <v>0.06</v>
      </c>
      <c r="V22" s="140">
        <f t="shared" ref="V22:BC22" si="17">U22</f>
        <v>0.06</v>
      </c>
      <c r="W22" s="140">
        <f t="shared" si="17"/>
        <v>0.06</v>
      </c>
      <c r="X22" s="140">
        <f t="shared" si="17"/>
        <v>0.06</v>
      </c>
      <c r="Y22" s="140">
        <f t="shared" si="17"/>
        <v>0.06</v>
      </c>
      <c r="Z22" s="140">
        <f t="shared" si="17"/>
        <v>0.06</v>
      </c>
      <c r="AA22" s="140">
        <f t="shared" si="17"/>
        <v>0.06</v>
      </c>
      <c r="AB22" s="140">
        <f t="shared" si="17"/>
        <v>0.06</v>
      </c>
      <c r="AC22" s="140">
        <f t="shared" si="17"/>
        <v>0.06</v>
      </c>
      <c r="AD22" s="140">
        <f t="shared" si="17"/>
        <v>0.06</v>
      </c>
      <c r="AE22" s="140">
        <f t="shared" si="17"/>
        <v>0.06</v>
      </c>
      <c r="AF22" s="140">
        <f t="shared" si="17"/>
        <v>0.06</v>
      </c>
      <c r="AG22" s="140">
        <f t="shared" si="17"/>
        <v>0.06</v>
      </c>
      <c r="AH22" s="140">
        <f t="shared" si="17"/>
        <v>0.06</v>
      </c>
      <c r="AI22" s="140">
        <f t="shared" si="17"/>
        <v>0.06</v>
      </c>
      <c r="AJ22" s="140">
        <f t="shared" si="17"/>
        <v>0.06</v>
      </c>
      <c r="AK22" s="140">
        <f t="shared" si="17"/>
        <v>0.06</v>
      </c>
      <c r="AL22" s="140">
        <f t="shared" si="17"/>
        <v>0.06</v>
      </c>
      <c r="AM22" s="140">
        <f t="shared" si="17"/>
        <v>0.06</v>
      </c>
      <c r="AN22" s="140">
        <f t="shared" si="17"/>
        <v>0.06</v>
      </c>
      <c r="AO22" s="140">
        <f t="shared" si="17"/>
        <v>0.06</v>
      </c>
      <c r="AP22" s="140">
        <f t="shared" si="17"/>
        <v>0.06</v>
      </c>
      <c r="AQ22" s="140">
        <f t="shared" si="17"/>
        <v>0.06</v>
      </c>
      <c r="AR22" s="140">
        <f t="shared" si="17"/>
        <v>0.06</v>
      </c>
      <c r="AS22" s="140">
        <f t="shared" si="17"/>
        <v>0.06</v>
      </c>
      <c r="AT22" s="140">
        <f t="shared" si="17"/>
        <v>0.06</v>
      </c>
      <c r="AU22" s="140">
        <f t="shared" si="17"/>
        <v>0.06</v>
      </c>
      <c r="AV22" s="140">
        <f t="shared" si="17"/>
        <v>0.06</v>
      </c>
      <c r="AW22" s="140">
        <f t="shared" si="17"/>
        <v>0.06</v>
      </c>
      <c r="AX22" s="140">
        <f t="shared" si="17"/>
        <v>0.06</v>
      </c>
      <c r="AY22" s="140">
        <f t="shared" si="17"/>
        <v>0.06</v>
      </c>
      <c r="AZ22" s="140">
        <f t="shared" si="17"/>
        <v>0.06</v>
      </c>
      <c r="BA22" s="140">
        <f t="shared" si="17"/>
        <v>0.06</v>
      </c>
      <c r="BB22" s="140">
        <f t="shared" si="17"/>
        <v>0.06</v>
      </c>
      <c r="BC22" s="140">
        <f t="shared" si="17"/>
        <v>0.06</v>
      </c>
    </row>
    <row r="23" spans="2:55" x14ac:dyDescent="0.25">
      <c r="C23" s="6"/>
      <c r="D23" s="6"/>
      <c r="E23" s="6"/>
      <c r="F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</row>
    <row r="24" spans="2:55" x14ac:dyDescent="0.25">
      <c r="B24" s="145" t="s">
        <v>147</v>
      </c>
      <c r="C24" s="146"/>
      <c r="D24" s="146"/>
      <c r="E24" s="146"/>
      <c r="F24" s="146"/>
      <c r="H24" s="18"/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6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</row>
    <row r="25" spans="2:55" x14ac:dyDescent="0.25">
      <c r="B25" s="147" t="s">
        <v>79</v>
      </c>
      <c r="C25" s="147">
        <f>AVERAGE(H25:S25)</f>
        <v>7131.583333333333</v>
      </c>
      <c r="D25" s="147">
        <f>AVERAGE(T25:AE25)</f>
        <v>8080.465757263607</v>
      </c>
      <c r="E25" s="147">
        <f>AVERAGE(AF25:AQ25)</f>
        <v>8208.0854811861318</v>
      </c>
      <c r="F25" s="147">
        <f>AVERAGE(AR25:BC25)</f>
        <v>8213.7474935735281</v>
      </c>
      <c r="H25" s="5">
        <f>CHOOSE($C$4,H17,H21)</f>
        <v>3943</v>
      </c>
      <c r="I25" s="5">
        <f t="shared" ref="I25:BC25" si="18">CHOOSE($C$4,I17,I21)</f>
        <v>3457</v>
      </c>
      <c r="J25" s="5">
        <f t="shared" si="18"/>
        <v>3810</v>
      </c>
      <c r="K25" s="5">
        <f t="shared" si="18"/>
        <v>4158</v>
      </c>
      <c r="L25" s="5">
        <f t="shared" si="18"/>
        <v>5402</v>
      </c>
      <c r="M25" s="5">
        <f t="shared" si="18"/>
        <v>8319</v>
      </c>
      <c r="N25" s="5">
        <f t="shared" si="18"/>
        <v>10817</v>
      </c>
      <c r="O25" s="5">
        <f t="shared" si="18"/>
        <v>10970</v>
      </c>
      <c r="P25" s="5">
        <f t="shared" si="18"/>
        <v>9757</v>
      </c>
      <c r="Q25" s="5">
        <f t="shared" si="18"/>
        <v>8343</v>
      </c>
      <c r="R25" s="5">
        <f t="shared" si="18"/>
        <v>9261</v>
      </c>
      <c r="S25" s="151">
        <f t="shared" si="18"/>
        <v>7342</v>
      </c>
      <c r="T25" s="151">
        <f t="shared" si="18"/>
        <v>7131.583333333333</v>
      </c>
      <c r="U25" s="151">
        <f t="shared" si="18"/>
        <v>7397.2986111111104</v>
      </c>
      <c r="V25" s="151">
        <f t="shared" si="18"/>
        <v>7725.6568287037035</v>
      </c>
      <c r="W25" s="151">
        <f t="shared" si="18"/>
        <v>8051.9615644290125</v>
      </c>
      <c r="X25" s="151">
        <f t="shared" si="18"/>
        <v>8376.4583614647636</v>
      </c>
      <c r="Y25" s="151">
        <f t="shared" si="18"/>
        <v>8624.3298915868272</v>
      </c>
      <c r="Z25" s="151">
        <f t="shared" si="18"/>
        <v>8649.7740492190642</v>
      </c>
      <c r="AA25" s="151">
        <f t="shared" si="18"/>
        <v>8469.1718866539832</v>
      </c>
      <c r="AB25" s="151">
        <f t="shared" si="18"/>
        <v>8260.7695438751489</v>
      </c>
      <c r="AC25" s="151">
        <f t="shared" si="18"/>
        <v>8136.083672531412</v>
      </c>
      <c r="AD25" s="151">
        <f t="shared" si="18"/>
        <v>8118.8406452423633</v>
      </c>
      <c r="AE25" s="151">
        <f t="shared" si="18"/>
        <v>8023.6606990125611</v>
      </c>
      <c r="AF25" s="151">
        <f t="shared" si="18"/>
        <v>8080.465757263607</v>
      </c>
      <c r="AG25" s="151">
        <f t="shared" si="18"/>
        <v>8159.5392925911301</v>
      </c>
      <c r="AH25" s="151">
        <f t="shared" si="18"/>
        <v>8223.0593493811302</v>
      </c>
      <c r="AI25" s="151">
        <f t="shared" si="18"/>
        <v>8264.5095594375834</v>
      </c>
      <c r="AJ25" s="151">
        <f t="shared" si="18"/>
        <v>8282.2218923549644</v>
      </c>
      <c r="AK25" s="151">
        <f t="shared" si="18"/>
        <v>8274.3688532624819</v>
      </c>
      <c r="AL25" s="151">
        <f t="shared" si="18"/>
        <v>8245.2054334021195</v>
      </c>
      <c r="AM25" s="151">
        <f t="shared" si="18"/>
        <v>8211.4913820840411</v>
      </c>
      <c r="AN25" s="151">
        <f t="shared" si="18"/>
        <v>8190.0180067032124</v>
      </c>
      <c r="AO25" s="151">
        <f t="shared" si="18"/>
        <v>8184.1220452722191</v>
      </c>
      <c r="AP25" s="151">
        <f t="shared" si="18"/>
        <v>8188.125243000617</v>
      </c>
      <c r="AQ25" s="151">
        <f t="shared" si="18"/>
        <v>8193.8989594804716</v>
      </c>
      <c r="AR25" s="151">
        <f t="shared" si="18"/>
        <v>8208.0854811861318</v>
      </c>
      <c r="AS25" s="151">
        <f t="shared" si="18"/>
        <v>8218.7204581796741</v>
      </c>
      <c r="AT25" s="151">
        <f t="shared" si="18"/>
        <v>8223.6522219787203</v>
      </c>
      <c r="AU25" s="151">
        <f t="shared" si="18"/>
        <v>8223.7016280285188</v>
      </c>
      <c r="AV25" s="151">
        <f t="shared" si="18"/>
        <v>8220.3009670777628</v>
      </c>
      <c r="AW25" s="151">
        <f t="shared" si="18"/>
        <v>8215.1408899713297</v>
      </c>
      <c r="AX25" s="151">
        <f t="shared" si="18"/>
        <v>8210.2052263637343</v>
      </c>
      <c r="AY25" s="151">
        <f t="shared" si="18"/>
        <v>8207.28854244387</v>
      </c>
      <c r="AZ25" s="151">
        <f t="shared" si="18"/>
        <v>8206.938305807189</v>
      </c>
      <c r="BA25" s="151">
        <f t="shared" si="18"/>
        <v>8208.3483307325205</v>
      </c>
      <c r="BB25" s="151">
        <f t="shared" si="18"/>
        <v>8210.3671878542118</v>
      </c>
      <c r="BC25" s="151">
        <f t="shared" si="18"/>
        <v>8212.2206832586762</v>
      </c>
    </row>
    <row r="26" spans="2:55" s="6" customFormat="1" x14ac:dyDescent="0.25">
      <c r="B26" s="148" t="s">
        <v>148</v>
      </c>
      <c r="C26" s="149">
        <f>AVERAGE(H26:S26)</f>
        <v>7.3780875956351397E-2</v>
      </c>
      <c r="D26" s="149">
        <f>AVERAGE(T26:AE26)</f>
        <v>8.0488228316019719E-2</v>
      </c>
      <c r="E26" s="149">
        <f>AVERAGE(AF26:AQ26)</f>
        <v>8.0488228316019719E-2</v>
      </c>
      <c r="F26" s="149">
        <f>AVERAGE(AG26:AR26)</f>
        <v>8.0488228316019719E-2</v>
      </c>
      <c r="G26" s="141"/>
      <c r="H26" s="6">
        <f>CHOOSE($C$4,H18,H22)</f>
        <v>0</v>
      </c>
      <c r="I26" s="6">
        <f t="shared" ref="I26:BC26" si="19">CHOOSE($C$4,I18,I22)</f>
        <v>1.6501650165017616E-3</v>
      </c>
      <c r="J26" s="6">
        <f t="shared" si="19"/>
        <v>5.2718286655683587E-2</v>
      </c>
      <c r="K26" s="6">
        <f t="shared" si="19"/>
        <v>-6.2597809076682378E-3</v>
      </c>
      <c r="L26" s="6">
        <f t="shared" si="19"/>
        <v>0.17480314960629928</v>
      </c>
      <c r="M26" s="6">
        <f t="shared" si="19"/>
        <v>6.7024128686327081E-2</v>
      </c>
      <c r="N26" s="6">
        <f t="shared" si="19"/>
        <v>0.13190954773869346</v>
      </c>
      <c r="O26" s="6">
        <f t="shared" si="19"/>
        <v>0.1853496115427303</v>
      </c>
      <c r="P26" s="6">
        <f t="shared" si="19"/>
        <v>0.19382022471910115</v>
      </c>
      <c r="Q26" s="6">
        <f t="shared" si="19"/>
        <v>7.3725490196078394E-2</v>
      </c>
      <c r="R26" s="6">
        <f t="shared" si="19"/>
        <v>-5.2593133674214677E-2</v>
      </c>
      <c r="S26" s="149">
        <f t="shared" si="19"/>
        <v>6.3222821896684545E-2</v>
      </c>
      <c r="T26" s="149">
        <f t="shared" si="19"/>
        <v>8.0488228316019705E-2</v>
      </c>
      <c r="U26" s="149">
        <f t="shared" si="19"/>
        <v>8.0488228316019705E-2</v>
      </c>
      <c r="V26" s="149">
        <f t="shared" si="19"/>
        <v>8.0488228316019705E-2</v>
      </c>
      <c r="W26" s="149">
        <f t="shared" si="19"/>
        <v>8.0488228316019705E-2</v>
      </c>
      <c r="X26" s="149">
        <f t="shared" si="19"/>
        <v>8.0488228316019705E-2</v>
      </c>
      <c r="Y26" s="149">
        <f t="shared" si="19"/>
        <v>8.0488228316019705E-2</v>
      </c>
      <c r="Z26" s="149">
        <f t="shared" si="19"/>
        <v>8.0488228316019705E-2</v>
      </c>
      <c r="AA26" s="149">
        <f t="shared" si="19"/>
        <v>8.0488228316019705E-2</v>
      </c>
      <c r="AB26" s="149">
        <f t="shared" si="19"/>
        <v>8.0488228316019705E-2</v>
      </c>
      <c r="AC26" s="149">
        <f t="shared" si="19"/>
        <v>8.0488228316019705E-2</v>
      </c>
      <c r="AD26" s="149">
        <f t="shared" si="19"/>
        <v>8.0488228316019705E-2</v>
      </c>
      <c r="AE26" s="149">
        <f t="shared" si="19"/>
        <v>8.0488228316019705E-2</v>
      </c>
      <c r="AF26" s="149">
        <f t="shared" si="19"/>
        <v>8.0488228316019705E-2</v>
      </c>
      <c r="AG26" s="149">
        <f t="shared" si="19"/>
        <v>8.0488228316019705E-2</v>
      </c>
      <c r="AH26" s="149">
        <f t="shared" si="19"/>
        <v>8.0488228316019705E-2</v>
      </c>
      <c r="AI26" s="149">
        <f t="shared" si="19"/>
        <v>8.0488228316019705E-2</v>
      </c>
      <c r="AJ26" s="149">
        <f t="shared" si="19"/>
        <v>8.0488228316019705E-2</v>
      </c>
      <c r="AK26" s="149">
        <f t="shared" si="19"/>
        <v>8.0488228316019705E-2</v>
      </c>
      <c r="AL26" s="149">
        <f t="shared" si="19"/>
        <v>8.0488228316019705E-2</v>
      </c>
      <c r="AM26" s="149">
        <f t="shared" si="19"/>
        <v>8.0488228316019705E-2</v>
      </c>
      <c r="AN26" s="149">
        <f t="shared" si="19"/>
        <v>8.0488228316019705E-2</v>
      </c>
      <c r="AO26" s="149">
        <f t="shared" si="19"/>
        <v>8.0488228316019705E-2</v>
      </c>
      <c r="AP26" s="149">
        <f t="shared" si="19"/>
        <v>8.0488228316019705E-2</v>
      </c>
      <c r="AQ26" s="149">
        <f t="shared" si="19"/>
        <v>8.0488228316019705E-2</v>
      </c>
      <c r="AR26" s="149">
        <f t="shared" si="19"/>
        <v>8.0488228316019705E-2</v>
      </c>
      <c r="AS26" s="149">
        <f t="shared" si="19"/>
        <v>8.0488228316019705E-2</v>
      </c>
      <c r="AT26" s="149">
        <f t="shared" si="19"/>
        <v>8.0488228316019705E-2</v>
      </c>
      <c r="AU26" s="149">
        <f t="shared" si="19"/>
        <v>8.0488228316019705E-2</v>
      </c>
      <c r="AV26" s="149">
        <f t="shared" si="19"/>
        <v>8.0488228316019705E-2</v>
      </c>
      <c r="AW26" s="149">
        <f t="shared" si="19"/>
        <v>8.0488228316019705E-2</v>
      </c>
      <c r="AX26" s="149">
        <f t="shared" si="19"/>
        <v>8.0488228316019705E-2</v>
      </c>
      <c r="AY26" s="149">
        <f t="shared" si="19"/>
        <v>8.0488228316019705E-2</v>
      </c>
      <c r="AZ26" s="149">
        <f t="shared" si="19"/>
        <v>8.0488228316019705E-2</v>
      </c>
      <c r="BA26" s="149">
        <f t="shared" si="19"/>
        <v>8.0488228316019705E-2</v>
      </c>
      <c r="BB26" s="149">
        <f t="shared" si="19"/>
        <v>8.0488228316019705E-2</v>
      </c>
      <c r="BC26" s="149">
        <f t="shared" si="19"/>
        <v>8.0488228316019705E-2</v>
      </c>
    </row>
    <row r="27" spans="2:55" x14ac:dyDescent="0.25">
      <c r="C27" s="6"/>
      <c r="D27" s="6"/>
      <c r="E27" s="6"/>
      <c r="F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</row>
    <row r="28" spans="2:55" x14ac:dyDescent="0.25">
      <c r="C28" s="13"/>
      <c r="D28" s="13"/>
      <c r="E28" s="13"/>
      <c r="F28" s="13"/>
      <c r="S28" s="7"/>
    </row>
    <row r="30" spans="2:55" s="69" customFormat="1" x14ac:dyDescent="0.25">
      <c r="B30" s="70" t="s">
        <v>69</v>
      </c>
      <c r="C30" s="67"/>
      <c r="D30" s="67"/>
      <c r="E30" s="67"/>
      <c r="F30" s="67"/>
      <c r="G30" s="68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</row>
    <row r="31" spans="2:55" x14ac:dyDescent="0.25">
      <c r="B31" s="1"/>
    </row>
    <row r="32" spans="2:55" x14ac:dyDescent="0.25">
      <c r="B32" s="1" t="s">
        <v>14</v>
      </c>
      <c r="C32" s="1"/>
      <c r="D32" s="1"/>
      <c r="E32" s="1"/>
      <c r="F32" s="1"/>
      <c r="G32" s="61"/>
    </row>
    <row r="33" spans="2:55" s="5" customFormat="1" x14ac:dyDescent="0.25">
      <c r="B33" s="40" t="s">
        <v>12</v>
      </c>
      <c r="C33" s="5">
        <f>H33</f>
        <v>1000</v>
      </c>
      <c r="D33" s="5">
        <f>AE33</f>
        <v>1000</v>
      </c>
      <c r="E33" s="5">
        <f>AQ33</f>
        <v>1000</v>
      </c>
      <c r="F33" s="5">
        <f>AR33</f>
        <v>1000</v>
      </c>
      <c r="G33" s="75"/>
      <c r="H33" s="5">
        <v>1000</v>
      </c>
      <c r="I33" s="5">
        <f t="shared" ref="I33:AQ33" si="20">H48</f>
        <v>1000</v>
      </c>
      <c r="J33" s="5">
        <f t="shared" si="20"/>
        <v>1000</v>
      </c>
      <c r="K33" s="5">
        <f t="shared" si="20"/>
        <v>1000</v>
      </c>
      <c r="L33" s="5">
        <f t="shared" si="20"/>
        <v>1000</v>
      </c>
      <c r="M33" s="5">
        <f t="shared" si="20"/>
        <v>1000</v>
      </c>
      <c r="N33" s="65">
        <f t="shared" si="20"/>
        <v>1000</v>
      </c>
      <c r="O33" s="65">
        <f t="shared" si="20"/>
        <v>1000</v>
      </c>
      <c r="P33" s="65">
        <f t="shared" si="20"/>
        <v>1000</v>
      </c>
      <c r="Q33" s="65">
        <f t="shared" si="20"/>
        <v>1000</v>
      </c>
      <c r="R33" s="65">
        <f t="shared" si="20"/>
        <v>1000</v>
      </c>
      <c r="S33" s="65">
        <f t="shared" si="20"/>
        <v>1000</v>
      </c>
      <c r="T33" s="65">
        <f t="shared" si="20"/>
        <v>1000</v>
      </c>
      <c r="U33" s="65">
        <f t="shared" si="20"/>
        <v>1000</v>
      </c>
      <c r="V33" s="65">
        <f t="shared" si="20"/>
        <v>1000</v>
      </c>
      <c r="W33" s="65">
        <f t="shared" si="20"/>
        <v>1000</v>
      </c>
      <c r="X33" s="65">
        <f t="shared" si="20"/>
        <v>1000</v>
      </c>
      <c r="Y33" s="65">
        <f t="shared" si="20"/>
        <v>1000</v>
      </c>
      <c r="Z33" s="65">
        <f t="shared" si="20"/>
        <v>1000</v>
      </c>
      <c r="AA33" s="65">
        <f t="shared" si="20"/>
        <v>1000</v>
      </c>
      <c r="AB33" s="65">
        <f t="shared" si="20"/>
        <v>1000</v>
      </c>
      <c r="AC33" s="65">
        <f t="shared" si="20"/>
        <v>1000</v>
      </c>
      <c r="AD33" s="65">
        <f t="shared" si="20"/>
        <v>1000</v>
      </c>
      <c r="AE33" s="65">
        <f t="shared" si="20"/>
        <v>1000</v>
      </c>
      <c r="AF33" s="65">
        <f t="shared" si="20"/>
        <v>1000</v>
      </c>
      <c r="AG33" s="65">
        <f t="shared" si="20"/>
        <v>1000</v>
      </c>
      <c r="AH33" s="65">
        <f t="shared" si="20"/>
        <v>1000</v>
      </c>
      <c r="AI33" s="65">
        <f t="shared" si="20"/>
        <v>1000</v>
      </c>
      <c r="AJ33" s="65">
        <f t="shared" si="20"/>
        <v>1000</v>
      </c>
      <c r="AK33" s="65">
        <f t="shared" si="20"/>
        <v>1000</v>
      </c>
      <c r="AL33" s="65">
        <f t="shared" si="20"/>
        <v>1000</v>
      </c>
      <c r="AM33" s="65">
        <f t="shared" si="20"/>
        <v>1000</v>
      </c>
      <c r="AN33" s="65">
        <f t="shared" si="20"/>
        <v>1000</v>
      </c>
      <c r="AO33" s="65">
        <f t="shared" si="20"/>
        <v>1000</v>
      </c>
      <c r="AP33" s="65">
        <f t="shared" si="20"/>
        <v>1000</v>
      </c>
      <c r="AQ33" s="65">
        <f t="shared" si="20"/>
        <v>1000</v>
      </c>
      <c r="AR33" s="65">
        <f t="shared" ref="AR33:AR34" si="21">AQ48</f>
        <v>1000</v>
      </c>
      <c r="AS33" s="65">
        <f t="shared" ref="AS33:AS34" si="22">AR48</f>
        <v>1000</v>
      </c>
      <c r="AT33" s="65">
        <f t="shared" ref="AT33:AT34" si="23">AS48</f>
        <v>1000</v>
      </c>
      <c r="AU33" s="65">
        <f t="shared" ref="AU33:AU34" si="24">AT48</f>
        <v>1000</v>
      </c>
      <c r="AV33" s="65">
        <f t="shared" ref="AV33:AV34" si="25">AU48</f>
        <v>1000</v>
      </c>
      <c r="AW33" s="65">
        <f t="shared" ref="AW33:AW34" si="26">AV48</f>
        <v>1000</v>
      </c>
      <c r="AX33" s="65">
        <f t="shared" ref="AX33:AX34" si="27">AW48</f>
        <v>1000</v>
      </c>
      <c r="AY33" s="65">
        <f t="shared" ref="AY33:AY34" si="28">AX48</f>
        <v>1000</v>
      </c>
      <c r="AZ33" s="65">
        <f t="shared" ref="AZ33:AZ34" si="29">AY48</f>
        <v>1000</v>
      </c>
      <c r="BA33" s="65">
        <f t="shared" ref="BA33:BA34" si="30">AZ48</f>
        <v>1000</v>
      </c>
      <c r="BB33" s="65">
        <f t="shared" ref="BB33:BB34" si="31">BA48</f>
        <v>1000</v>
      </c>
      <c r="BC33" s="65">
        <f t="shared" ref="BC33:BC34" si="32">BB48</f>
        <v>1000</v>
      </c>
    </row>
    <row r="34" spans="2:55" s="5" customFormat="1" x14ac:dyDescent="0.25">
      <c r="B34" s="40" t="s">
        <v>13</v>
      </c>
      <c r="C34" s="5">
        <f>H34</f>
        <v>0</v>
      </c>
      <c r="D34" s="5">
        <f>AE34</f>
        <v>16809</v>
      </c>
      <c r="E34" s="5">
        <f>AQ34</f>
        <v>24309</v>
      </c>
      <c r="F34" s="5">
        <f>AR34</f>
        <v>24309</v>
      </c>
      <c r="G34" s="75"/>
      <c r="H34" s="5">
        <v>0</v>
      </c>
      <c r="I34" s="5">
        <f t="shared" ref="I34:AQ34" si="33">H49</f>
        <v>0</v>
      </c>
      <c r="J34" s="5">
        <f t="shared" si="33"/>
        <v>0</v>
      </c>
      <c r="K34" s="5">
        <f t="shared" si="33"/>
        <v>0</v>
      </c>
      <c r="L34" s="5">
        <f t="shared" si="33"/>
        <v>0</v>
      </c>
      <c r="M34" s="5">
        <f t="shared" si="33"/>
        <v>1025</v>
      </c>
      <c r="N34" s="65">
        <f t="shared" si="33"/>
        <v>1809</v>
      </c>
      <c r="O34" s="65">
        <f t="shared" si="33"/>
        <v>1809</v>
      </c>
      <c r="P34" s="65">
        <f t="shared" si="33"/>
        <v>3059</v>
      </c>
      <c r="Q34" s="65">
        <f t="shared" si="33"/>
        <v>4309</v>
      </c>
      <c r="R34" s="65">
        <f t="shared" si="33"/>
        <v>4809</v>
      </c>
      <c r="S34" s="65">
        <f t="shared" si="33"/>
        <v>6009</v>
      </c>
      <c r="T34" s="65">
        <f t="shared" si="33"/>
        <v>6009</v>
      </c>
      <c r="U34" s="65">
        <f t="shared" si="33"/>
        <v>9609</v>
      </c>
      <c r="V34" s="65">
        <f t="shared" si="33"/>
        <v>13209</v>
      </c>
      <c r="W34" s="65">
        <f t="shared" si="33"/>
        <v>16809</v>
      </c>
      <c r="X34" s="65">
        <f t="shared" si="33"/>
        <v>16809</v>
      </c>
      <c r="Y34" s="65">
        <f t="shared" si="33"/>
        <v>16809</v>
      </c>
      <c r="Z34" s="65">
        <f t="shared" si="33"/>
        <v>16809</v>
      </c>
      <c r="AA34" s="65">
        <f t="shared" si="33"/>
        <v>16809</v>
      </c>
      <c r="AB34" s="65">
        <f t="shared" si="33"/>
        <v>16809</v>
      </c>
      <c r="AC34" s="65">
        <f t="shared" si="33"/>
        <v>16809</v>
      </c>
      <c r="AD34" s="65">
        <f t="shared" si="33"/>
        <v>16809</v>
      </c>
      <c r="AE34" s="65">
        <f t="shared" si="33"/>
        <v>16809</v>
      </c>
      <c r="AF34" s="65">
        <f t="shared" si="33"/>
        <v>16809</v>
      </c>
      <c r="AG34" s="65">
        <f t="shared" si="33"/>
        <v>21809</v>
      </c>
      <c r="AH34" s="65">
        <f t="shared" si="33"/>
        <v>21809</v>
      </c>
      <c r="AI34" s="65">
        <f t="shared" si="33"/>
        <v>21809</v>
      </c>
      <c r="AJ34" s="65">
        <f t="shared" si="33"/>
        <v>21809</v>
      </c>
      <c r="AK34" s="65">
        <f t="shared" si="33"/>
        <v>21809</v>
      </c>
      <c r="AL34" s="65">
        <f t="shared" si="33"/>
        <v>21809</v>
      </c>
      <c r="AM34" s="65">
        <f t="shared" si="33"/>
        <v>21809</v>
      </c>
      <c r="AN34" s="65">
        <f t="shared" si="33"/>
        <v>24309</v>
      </c>
      <c r="AO34" s="65">
        <f t="shared" si="33"/>
        <v>24309</v>
      </c>
      <c r="AP34" s="65">
        <f t="shared" si="33"/>
        <v>24309</v>
      </c>
      <c r="AQ34" s="65">
        <f t="shared" si="33"/>
        <v>24309</v>
      </c>
      <c r="AR34" s="65">
        <f t="shared" si="21"/>
        <v>24309</v>
      </c>
      <c r="AS34" s="65">
        <f t="shared" si="22"/>
        <v>26809</v>
      </c>
      <c r="AT34" s="65">
        <f t="shared" si="23"/>
        <v>26809</v>
      </c>
      <c r="AU34" s="65">
        <f t="shared" si="24"/>
        <v>26809</v>
      </c>
      <c r="AV34" s="65">
        <f t="shared" si="25"/>
        <v>26809</v>
      </c>
      <c r="AW34" s="65">
        <f t="shared" si="26"/>
        <v>26809</v>
      </c>
      <c r="AX34" s="65">
        <f t="shared" si="27"/>
        <v>29309</v>
      </c>
      <c r="AY34" s="65">
        <f t="shared" si="28"/>
        <v>29309</v>
      </c>
      <c r="AZ34" s="65">
        <f t="shared" si="29"/>
        <v>29309</v>
      </c>
      <c r="BA34" s="65">
        <f t="shared" si="30"/>
        <v>29309</v>
      </c>
      <c r="BB34" s="65">
        <f t="shared" si="31"/>
        <v>29309</v>
      </c>
      <c r="BC34" s="65">
        <f t="shared" si="32"/>
        <v>29309</v>
      </c>
    </row>
    <row r="35" spans="2:55" s="5" customFormat="1" x14ac:dyDescent="0.25">
      <c r="B35" s="25" t="s">
        <v>66</v>
      </c>
      <c r="C35" s="25">
        <f>SUM(C33:C34)</f>
        <v>1000</v>
      </c>
      <c r="D35" s="25">
        <f>SUM(D33:D34)</f>
        <v>17809</v>
      </c>
      <c r="E35" s="25">
        <f>SUM(E33:E34)</f>
        <v>25309</v>
      </c>
      <c r="F35" s="25">
        <f>SUM(F33:F34)</f>
        <v>25309</v>
      </c>
      <c r="G35" s="76"/>
      <c r="H35" s="25">
        <f t="shared" ref="H35:AQ35" si="34">SUM(H33:H34)</f>
        <v>1000</v>
      </c>
      <c r="I35" s="25">
        <f t="shared" si="34"/>
        <v>1000</v>
      </c>
      <c r="J35" s="25">
        <f t="shared" si="34"/>
        <v>1000</v>
      </c>
      <c r="K35" s="25">
        <f t="shared" si="34"/>
        <v>1000</v>
      </c>
      <c r="L35" s="25">
        <f t="shared" si="34"/>
        <v>1000</v>
      </c>
      <c r="M35" s="25">
        <f t="shared" si="34"/>
        <v>2025</v>
      </c>
      <c r="N35" s="50">
        <f t="shared" si="34"/>
        <v>2809</v>
      </c>
      <c r="O35" s="50">
        <f t="shared" si="34"/>
        <v>2809</v>
      </c>
      <c r="P35" s="50">
        <f t="shared" si="34"/>
        <v>4059</v>
      </c>
      <c r="Q35" s="50">
        <f t="shared" si="34"/>
        <v>5309</v>
      </c>
      <c r="R35" s="50">
        <f t="shared" si="34"/>
        <v>5809</v>
      </c>
      <c r="S35" s="50">
        <f t="shared" si="34"/>
        <v>7009</v>
      </c>
      <c r="T35" s="50">
        <f t="shared" si="34"/>
        <v>7009</v>
      </c>
      <c r="U35" s="50">
        <f t="shared" si="34"/>
        <v>10609</v>
      </c>
      <c r="V35" s="50">
        <f t="shared" si="34"/>
        <v>14209</v>
      </c>
      <c r="W35" s="50">
        <f t="shared" si="34"/>
        <v>17809</v>
      </c>
      <c r="X35" s="50">
        <f t="shared" si="34"/>
        <v>17809</v>
      </c>
      <c r="Y35" s="50">
        <f t="shared" si="34"/>
        <v>17809</v>
      </c>
      <c r="Z35" s="50">
        <f t="shared" si="34"/>
        <v>17809</v>
      </c>
      <c r="AA35" s="50">
        <f t="shared" si="34"/>
        <v>17809</v>
      </c>
      <c r="AB35" s="50">
        <f t="shared" si="34"/>
        <v>17809</v>
      </c>
      <c r="AC35" s="50">
        <f t="shared" si="34"/>
        <v>17809</v>
      </c>
      <c r="AD35" s="50">
        <f t="shared" si="34"/>
        <v>17809</v>
      </c>
      <c r="AE35" s="50">
        <f t="shared" si="34"/>
        <v>17809</v>
      </c>
      <c r="AF35" s="50">
        <f t="shared" si="34"/>
        <v>17809</v>
      </c>
      <c r="AG35" s="50">
        <f t="shared" si="34"/>
        <v>22809</v>
      </c>
      <c r="AH35" s="50">
        <f t="shared" si="34"/>
        <v>22809</v>
      </c>
      <c r="AI35" s="50">
        <f t="shared" si="34"/>
        <v>22809</v>
      </c>
      <c r="AJ35" s="50">
        <f t="shared" si="34"/>
        <v>22809</v>
      </c>
      <c r="AK35" s="50">
        <f t="shared" si="34"/>
        <v>22809</v>
      </c>
      <c r="AL35" s="50">
        <f t="shared" si="34"/>
        <v>22809</v>
      </c>
      <c r="AM35" s="50">
        <f t="shared" si="34"/>
        <v>22809</v>
      </c>
      <c r="AN35" s="50">
        <f t="shared" si="34"/>
        <v>25309</v>
      </c>
      <c r="AO35" s="50">
        <f t="shared" si="34"/>
        <v>25309</v>
      </c>
      <c r="AP35" s="50">
        <f t="shared" si="34"/>
        <v>25309</v>
      </c>
      <c r="AQ35" s="50">
        <f t="shared" si="34"/>
        <v>25309</v>
      </c>
      <c r="AR35" s="50">
        <f t="shared" ref="AR35:BC35" si="35">SUM(AR33:AR34)</f>
        <v>25309</v>
      </c>
      <c r="AS35" s="50">
        <f t="shared" si="35"/>
        <v>27809</v>
      </c>
      <c r="AT35" s="50">
        <f t="shared" si="35"/>
        <v>27809</v>
      </c>
      <c r="AU35" s="50">
        <f t="shared" si="35"/>
        <v>27809</v>
      </c>
      <c r="AV35" s="50">
        <f t="shared" si="35"/>
        <v>27809</v>
      </c>
      <c r="AW35" s="50">
        <f t="shared" si="35"/>
        <v>27809</v>
      </c>
      <c r="AX35" s="50">
        <f t="shared" si="35"/>
        <v>30309</v>
      </c>
      <c r="AY35" s="50">
        <f t="shared" si="35"/>
        <v>30309</v>
      </c>
      <c r="AZ35" s="50">
        <f t="shared" si="35"/>
        <v>30309</v>
      </c>
      <c r="BA35" s="50">
        <f t="shared" si="35"/>
        <v>30309</v>
      </c>
      <c r="BB35" s="50">
        <f t="shared" si="35"/>
        <v>30309</v>
      </c>
      <c r="BC35" s="50">
        <f t="shared" si="35"/>
        <v>30309</v>
      </c>
    </row>
    <row r="36" spans="2:55" s="5" customFormat="1" x14ac:dyDescent="0.25">
      <c r="G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</row>
    <row r="37" spans="2:55" s="5" customFormat="1" x14ac:dyDescent="0.25">
      <c r="B37" s="9" t="s">
        <v>15</v>
      </c>
      <c r="C37" s="9"/>
      <c r="D37" s="9"/>
      <c r="E37" s="9"/>
      <c r="F37" s="9"/>
      <c r="G37" s="44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</row>
    <row r="38" spans="2:55" s="5" customFormat="1" x14ac:dyDescent="0.25">
      <c r="B38" s="40" t="s">
        <v>12</v>
      </c>
      <c r="C38" s="5">
        <f>SUM(H38:S38)</f>
        <v>0</v>
      </c>
      <c r="D38" s="5">
        <f>SUM(T38:AE38)</f>
        <v>0</v>
      </c>
      <c r="E38" s="5">
        <f>SUM(AF38:AQ38)</f>
        <v>0</v>
      </c>
      <c r="F38" s="5">
        <f>SUM(AR38:BC38)</f>
        <v>0</v>
      </c>
      <c r="G38" s="75"/>
      <c r="H38" s="73">
        <v>0</v>
      </c>
      <c r="I38" s="73">
        <v>0</v>
      </c>
      <c r="J38" s="73">
        <v>0</v>
      </c>
      <c r="K38" s="73">
        <v>0</v>
      </c>
      <c r="L38" s="73">
        <v>0</v>
      </c>
      <c r="M38" s="73">
        <v>0</v>
      </c>
      <c r="N38" s="73">
        <v>0</v>
      </c>
      <c r="O38" s="73">
        <v>0</v>
      </c>
      <c r="P38" s="73">
        <v>0</v>
      </c>
      <c r="Q38" s="73">
        <v>0</v>
      </c>
      <c r="R38" s="73">
        <v>0</v>
      </c>
      <c r="S38" s="73">
        <v>0</v>
      </c>
      <c r="T38" s="73">
        <v>0</v>
      </c>
      <c r="U38" s="73">
        <v>0</v>
      </c>
      <c r="V38" s="73">
        <v>0</v>
      </c>
      <c r="W38" s="73">
        <v>0</v>
      </c>
      <c r="X38" s="73">
        <v>0</v>
      </c>
      <c r="Y38" s="73">
        <v>0</v>
      </c>
      <c r="Z38" s="73">
        <v>0</v>
      </c>
      <c r="AA38" s="73">
        <v>0</v>
      </c>
      <c r="AB38" s="73">
        <v>0</v>
      </c>
      <c r="AC38" s="73">
        <v>0</v>
      </c>
      <c r="AD38" s="73">
        <v>0</v>
      </c>
      <c r="AE38" s="73">
        <v>0</v>
      </c>
      <c r="AF38" s="73">
        <v>0</v>
      </c>
      <c r="AG38" s="73">
        <v>0</v>
      </c>
      <c r="AH38" s="73">
        <v>0</v>
      </c>
      <c r="AI38" s="73">
        <v>0</v>
      </c>
      <c r="AJ38" s="73">
        <v>0</v>
      </c>
      <c r="AK38" s="73">
        <v>0</v>
      </c>
      <c r="AL38" s="73">
        <v>0</v>
      </c>
      <c r="AM38" s="73">
        <v>0</v>
      </c>
      <c r="AN38" s="73">
        <v>0</v>
      </c>
      <c r="AO38" s="73">
        <v>0</v>
      </c>
      <c r="AP38" s="73">
        <v>0</v>
      </c>
      <c r="AQ38" s="73">
        <v>0</v>
      </c>
      <c r="AR38" s="73">
        <v>0</v>
      </c>
      <c r="AS38" s="73">
        <v>0</v>
      </c>
      <c r="AT38" s="73">
        <v>0</v>
      </c>
      <c r="AU38" s="73">
        <v>0</v>
      </c>
      <c r="AV38" s="73">
        <v>0</v>
      </c>
      <c r="AW38" s="73">
        <v>0</v>
      </c>
      <c r="AX38" s="73">
        <v>0</v>
      </c>
      <c r="AY38" s="73">
        <v>0</v>
      </c>
      <c r="AZ38" s="73">
        <v>0</v>
      </c>
      <c r="BA38" s="73">
        <v>0</v>
      </c>
      <c r="BB38" s="73">
        <v>0</v>
      </c>
      <c r="BC38" s="73">
        <v>0</v>
      </c>
    </row>
    <row r="39" spans="2:55" s="5" customFormat="1" x14ac:dyDescent="0.25">
      <c r="B39" s="40" t="s">
        <v>13</v>
      </c>
      <c r="C39" s="5">
        <f>SUM(H39:S39)</f>
        <v>6009</v>
      </c>
      <c r="D39" s="5">
        <f>SUM(T39:AE39)</f>
        <v>10800</v>
      </c>
      <c r="E39" s="5">
        <f>SUM(AF39:AQ39)</f>
        <v>7500</v>
      </c>
      <c r="F39" s="5">
        <f>SUM(AR39:BC39)</f>
        <v>5000</v>
      </c>
      <c r="G39" s="75"/>
      <c r="H39" s="73">
        <v>0</v>
      </c>
      <c r="I39" s="73">
        <v>0</v>
      </c>
      <c r="J39" s="73">
        <v>0</v>
      </c>
      <c r="K39" s="73">
        <v>0</v>
      </c>
      <c r="L39" s="73">
        <v>1025</v>
      </c>
      <c r="M39" s="73">
        <v>784</v>
      </c>
      <c r="N39" s="73">
        <v>0</v>
      </c>
      <c r="O39" s="77">
        <v>1250</v>
      </c>
      <c r="P39" s="77">
        <v>1250</v>
      </c>
      <c r="Q39" s="77">
        <v>500</v>
      </c>
      <c r="R39" s="77">
        <v>1200</v>
      </c>
      <c r="S39" s="73">
        <v>0</v>
      </c>
      <c r="T39" s="73">
        <v>3600</v>
      </c>
      <c r="U39" s="73">
        <v>3600</v>
      </c>
      <c r="V39" s="73">
        <v>3600</v>
      </c>
      <c r="W39" s="73">
        <v>0</v>
      </c>
      <c r="X39" s="73">
        <v>0</v>
      </c>
      <c r="Y39" s="73">
        <v>0</v>
      </c>
      <c r="Z39" s="73">
        <v>0</v>
      </c>
      <c r="AA39" s="73">
        <v>0</v>
      </c>
      <c r="AB39" s="73">
        <v>0</v>
      </c>
      <c r="AC39" s="73">
        <v>0</v>
      </c>
      <c r="AD39" s="73">
        <v>0</v>
      </c>
      <c r="AE39" s="73">
        <v>0</v>
      </c>
      <c r="AF39" s="73">
        <v>5000</v>
      </c>
      <c r="AG39" s="73">
        <v>0</v>
      </c>
      <c r="AH39" s="73">
        <v>0</v>
      </c>
      <c r="AI39" s="73">
        <v>0</v>
      </c>
      <c r="AJ39" s="73">
        <v>0</v>
      </c>
      <c r="AK39" s="73">
        <v>0</v>
      </c>
      <c r="AL39" s="73">
        <v>0</v>
      </c>
      <c r="AM39" s="73">
        <v>2500</v>
      </c>
      <c r="AN39" s="73">
        <v>0</v>
      </c>
      <c r="AO39" s="73">
        <v>0</v>
      </c>
      <c r="AP39" s="73">
        <v>0</v>
      </c>
      <c r="AQ39" s="73">
        <v>0</v>
      </c>
      <c r="AR39" s="73">
        <v>2500</v>
      </c>
      <c r="AS39" s="73">
        <v>0</v>
      </c>
      <c r="AT39" s="73">
        <v>0</v>
      </c>
      <c r="AU39" s="73">
        <v>0</v>
      </c>
      <c r="AV39" s="73">
        <v>0</v>
      </c>
      <c r="AW39" s="73">
        <v>2500</v>
      </c>
      <c r="AX39" s="73">
        <v>0</v>
      </c>
      <c r="AY39" s="73">
        <v>0</v>
      </c>
      <c r="AZ39" s="73">
        <v>0</v>
      </c>
      <c r="BA39" s="73">
        <v>0</v>
      </c>
      <c r="BB39" s="73">
        <v>0</v>
      </c>
      <c r="BC39" s="73">
        <v>0</v>
      </c>
    </row>
    <row r="40" spans="2:55" s="5" customFormat="1" x14ac:dyDescent="0.25">
      <c r="B40" s="25" t="s">
        <v>67</v>
      </c>
      <c r="C40" s="25">
        <f>SUM(C38:C39)</f>
        <v>6009</v>
      </c>
      <c r="D40" s="25">
        <f t="shared" ref="D40:F40" si="36">SUM(D38:D39)</f>
        <v>10800</v>
      </c>
      <c r="E40" s="25">
        <f t="shared" si="36"/>
        <v>7500</v>
      </c>
      <c r="F40" s="25">
        <f t="shared" si="36"/>
        <v>5000</v>
      </c>
      <c r="G40" s="76"/>
      <c r="H40" s="50">
        <f t="shared" ref="H40" si="37">SUM(H38:H39)</f>
        <v>0</v>
      </c>
      <c r="I40" s="50">
        <f t="shared" ref="I40" si="38">SUM(I38:I39)</f>
        <v>0</v>
      </c>
      <c r="J40" s="50">
        <f t="shared" ref="J40" si="39">SUM(J38:J39)</f>
        <v>0</v>
      </c>
      <c r="K40" s="50">
        <f t="shared" ref="K40" si="40">SUM(K38:K39)</f>
        <v>0</v>
      </c>
      <c r="L40" s="25">
        <f t="shared" ref="L40" si="41">SUM(L38:L39)</f>
        <v>1025</v>
      </c>
      <c r="M40" s="25">
        <f t="shared" ref="M40" si="42">SUM(M38:M39)</f>
        <v>784</v>
      </c>
      <c r="N40" s="50">
        <f t="shared" ref="N40" si="43">SUM(N38:N39)</f>
        <v>0</v>
      </c>
      <c r="O40" s="50">
        <f t="shared" ref="O40:P40" si="44">SUM(O38:O39)</f>
        <v>1250</v>
      </c>
      <c r="P40" s="50">
        <f t="shared" si="44"/>
        <v>1250</v>
      </c>
      <c r="Q40" s="50">
        <f t="shared" ref="Q40" si="45">SUM(Q38:Q39)</f>
        <v>500</v>
      </c>
      <c r="R40" s="50">
        <f t="shared" ref="R40" si="46">SUM(R38:R39)</f>
        <v>1200</v>
      </c>
      <c r="S40" s="50">
        <f t="shared" ref="S40:T40" si="47">SUM(S38:S39)</f>
        <v>0</v>
      </c>
      <c r="T40" s="50">
        <f t="shared" si="47"/>
        <v>3600</v>
      </c>
      <c r="U40" s="50">
        <f t="shared" ref="U40" si="48">SUM(U38:U39)</f>
        <v>3600</v>
      </c>
      <c r="V40" s="50">
        <f t="shared" ref="V40" si="49">SUM(V38:V39)</f>
        <v>3600</v>
      </c>
      <c r="W40" s="50">
        <f t="shared" ref="W40:X40" si="50">SUM(W38:W39)</f>
        <v>0</v>
      </c>
      <c r="X40" s="50">
        <f t="shared" si="50"/>
        <v>0</v>
      </c>
      <c r="Y40" s="50">
        <f t="shared" ref="Y40" si="51">SUM(Y38:Y39)</f>
        <v>0</v>
      </c>
      <c r="Z40" s="50">
        <f t="shared" ref="Z40" si="52">SUM(Z38:Z39)</f>
        <v>0</v>
      </c>
      <c r="AA40" s="50">
        <f t="shared" ref="AA40:AB40" si="53">SUM(AA38:AA39)</f>
        <v>0</v>
      </c>
      <c r="AB40" s="50">
        <f t="shared" si="53"/>
        <v>0</v>
      </c>
      <c r="AC40" s="50">
        <f t="shared" ref="AC40" si="54">SUM(AC38:AC39)</f>
        <v>0</v>
      </c>
      <c r="AD40" s="50">
        <f t="shared" ref="AD40" si="55">SUM(AD38:AD39)</f>
        <v>0</v>
      </c>
      <c r="AE40" s="50">
        <f t="shared" ref="AE40:AF40" si="56">SUM(AE38:AE39)</f>
        <v>0</v>
      </c>
      <c r="AF40" s="50">
        <f t="shared" si="56"/>
        <v>5000</v>
      </c>
      <c r="AG40" s="50">
        <f t="shared" ref="AG40" si="57">SUM(AG38:AG39)</f>
        <v>0</v>
      </c>
      <c r="AH40" s="50">
        <f t="shared" ref="AH40" si="58">SUM(AH38:AH39)</f>
        <v>0</v>
      </c>
      <c r="AI40" s="50">
        <f t="shared" ref="AI40:AJ40" si="59">SUM(AI38:AI39)</f>
        <v>0</v>
      </c>
      <c r="AJ40" s="50">
        <f t="shared" si="59"/>
        <v>0</v>
      </c>
      <c r="AK40" s="50">
        <f t="shared" ref="AK40" si="60">SUM(AK38:AK39)</f>
        <v>0</v>
      </c>
      <c r="AL40" s="50">
        <f t="shared" ref="AL40" si="61">SUM(AL38:AL39)</f>
        <v>0</v>
      </c>
      <c r="AM40" s="50">
        <f t="shared" ref="AM40:AN40" si="62">SUM(AM38:AM39)</f>
        <v>2500</v>
      </c>
      <c r="AN40" s="50">
        <f t="shared" si="62"/>
        <v>0</v>
      </c>
      <c r="AO40" s="50">
        <f t="shared" ref="AO40" si="63">SUM(AO38:AO39)</f>
        <v>0</v>
      </c>
      <c r="AP40" s="50">
        <f t="shared" ref="AP40" si="64">SUM(AP38:AP39)</f>
        <v>0</v>
      </c>
      <c r="AQ40" s="50">
        <f t="shared" ref="AQ40:AR40" si="65">SUM(AQ38:AQ39)</f>
        <v>0</v>
      </c>
      <c r="AR40" s="50">
        <f t="shared" si="65"/>
        <v>2500</v>
      </c>
      <c r="AS40" s="50">
        <f t="shared" ref="AS40" si="66">SUM(AS38:AS39)</f>
        <v>0</v>
      </c>
      <c r="AT40" s="50">
        <f t="shared" ref="AT40" si="67">SUM(AT38:AT39)</f>
        <v>0</v>
      </c>
      <c r="AU40" s="50">
        <f t="shared" ref="AU40:AV40" si="68">SUM(AU38:AU39)</f>
        <v>0</v>
      </c>
      <c r="AV40" s="50">
        <f t="shared" si="68"/>
        <v>0</v>
      </c>
      <c r="AW40" s="50">
        <f t="shared" ref="AW40" si="69">SUM(AW38:AW39)</f>
        <v>2500</v>
      </c>
      <c r="AX40" s="50">
        <f t="shared" ref="AX40" si="70">SUM(AX38:AX39)</f>
        <v>0</v>
      </c>
      <c r="AY40" s="50">
        <f t="shared" ref="AY40:AZ40" si="71">SUM(AY38:AY39)</f>
        <v>0</v>
      </c>
      <c r="AZ40" s="50">
        <f t="shared" si="71"/>
        <v>0</v>
      </c>
      <c r="BA40" s="50">
        <f t="shared" ref="BA40" si="72">SUM(BA38:BA39)</f>
        <v>0</v>
      </c>
      <c r="BB40" s="50">
        <f t="shared" ref="BB40" si="73">SUM(BB38:BB39)</f>
        <v>0</v>
      </c>
      <c r="BC40" s="50">
        <f t="shared" ref="BC40" si="74">SUM(BC38:BC39)</f>
        <v>0</v>
      </c>
    </row>
    <row r="41" spans="2:55" s="5" customFormat="1" x14ac:dyDescent="0.25">
      <c r="G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</row>
    <row r="42" spans="2:55" s="5" customFormat="1" x14ac:dyDescent="0.25">
      <c r="B42" s="9" t="s">
        <v>16</v>
      </c>
      <c r="C42" s="9"/>
      <c r="D42" s="9"/>
      <c r="E42" s="9"/>
      <c r="F42" s="9"/>
      <c r="G42" s="44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</row>
    <row r="43" spans="2:55" s="5" customFormat="1" x14ac:dyDescent="0.25">
      <c r="B43" s="40" t="s">
        <v>12</v>
      </c>
      <c r="C43" s="5">
        <f>SUM(H43:S43)</f>
        <v>0</v>
      </c>
      <c r="D43" s="5">
        <f>SUM(T43:AE43)</f>
        <v>0</v>
      </c>
      <c r="E43" s="5">
        <f>SUM(AF43:AQ43)</f>
        <v>0</v>
      </c>
      <c r="F43" s="5">
        <f>SUM(AR43:BC43)</f>
        <v>0</v>
      </c>
      <c r="G43" s="75"/>
      <c r="H43" s="73">
        <v>0</v>
      </c>
      <c r="I43" s="73">
        <v>0</v>
      </c>
      <c r="J43" s="73">
        <v>0</v>
      </c>
      <c r="K43" s="73">
        <v>0</v>
      </c>
      <c r="L43" s="73">
        <v>0</v>
      </c>
      <c r="M43" s="73">
        <v>0</v>
      </c>
      <c r="N43" s="73">
        <v>0</v>
      </c>
      <c r="O43" s="73">
        <v>0</v>
      </c>
      <c r="P43" s="73">
        <v>0</v>
      </c>
      <c r="Q43" s="73">
        <v>0</v>
      </c>
      <c r="R43" s="73">
        <v>0</v>
      </c>
      <c r="S43" s="73">
        <v>0</v>
      </c>
      <c r="T43" s="73">
        <v>0</v>
      </c>
      <c r="U43" s="73">
        <v>0</v>
      </c>
      <c r="V43" s="73">
        <v>0</v>
      </c>
      <c r="W43" s="73">
        <v>0</v>
      </c>
      <c r="X43" s="73">
        <v>0</v>
      </c>
      <c r="Y43" s="73">
        <v>0</v>
      </c>
      <c r="Z43" s="73">
        <v>0</v>
      </c>
      <c r="AA43" s="73">
        <v>0</v>
      </c>
      <c r="AB43" s="73">
        <v>0</v>
      </c>
      <c r="AC43" s="73">
        <v>0</v>
      </c>
      <c r="AD43" s="73">
        <v>0</v>
      </c>
      <c r="AE43" s="73">
        <v>0</v>
      </c>
      <c r="AF43" s="73">
        <v>0</v>
      </c>
      <c r="AG43" s="73">
        <v>0</v>
      </c>
      <c r="AH43" s="73">
        <v>0</v>
      </c>
      <c r="AI43" s="73">
        <v>0</v>
      </c>
      <c r="AJ43" s="73">
        <v>0</v>
      </c>
      <c r="AK43" s="73">
        <v>0</v>
      </c>
      <c r="AL43" s="73">
        <v>0</v>
      </c>
      <c r="AM43" s="73">
        <v>0</v>
      </c>
      <c r="AN43" s="73">
        <v>0</v>
      </c>
      <c r="AO43" s="73">
        <v>0</v>
      </c>
      <c r="AP43" s="73">
        <v>0</v>
      </c>
      <c r="AQ43" s="73">
        <v>0</v>
      </c>
      <c r="AR43" s="73">
        <v>0</v>
      </c>
      <c r="AS43" s="73">
        <v>0</v>
      </c>
      <c r="AT43" s="73">
        <v>0</v>
      </c>
      <c r="AU43" s="73">
        <v>0</v>
      </c>
      <c r="AV43" s="73">
        <v>0</v>
      </c>
      <c r="AW43" s="73">
        <v>0</v>
      </c>
      <c r="AX43" s="73">
        <v>0</v>
      </c>
      <c r="AY43" s="73">
        <v>0</v>
      </c>
      <c r="AZ43" s="73">
        <v>0</v>
      </c>
      <c r="BA43" s="73">
        <v>0</v>
      </c>
      <c r="BB43" s="73">
        <v>0</v>
      </c>
      <c r="BC43" s="73">
        <v>0</v>
      </c>
    </row>
    <row r="44" spans="2:55" s="5" customFormat="1" x14ac:dyDescent="0.25">
      <c r="B44" s="40" t="s">
        <v>13</v>
      </c>
      <c r="C44" s="5">
        <f>SUM(H44:S44)</f>
        <v>0</v>
      </c>
      <c r="D44" s="5">
        <f>SUM(T44:AE44)</f>
        <v>0</v>
      </c>
      <c r="E44" s="5">
        <f>SUM(AF44:AQ44)</f>
        <v>0</v>
      </c>
      <c r="F44" s="5">
        <f>SUM(AR44:BC44)</f>
        <v>0</v>
      </c>
      <c r="G44" s="75"/>
      <c r="H44" s="73">
        <v>0</v>
      </c>
      <c r="I44" s="73">
        <v>0</v>
      </c>
      <c r="J44" s="73">
        <v>0</v>
      </c>
      <c r="K44" s="73">
        <v>0</v>
      </c>
      <c r="L44" s="73">
        <v>0</v>
      </c>
      <c r="M44" s="73">
        <v>0</v>
      </c>
      <c r="N44" s="73">
        <v>0</v>
      </c>
      <c r="O44" s="73">
        <v>0</v>
      </c>
      <c r="P44" s="73">
        <v>0</v>
      </c>
      <c r="Q44" s="73">
        <v>0</v>
      </c>
      <c r="R44" s="73">
        <v>0</v>
      </c>
      <c r="S44" s="73">
        <v>0</v>
      </c>
      <c r="T44" s="73">
        <v>0</v>
      </c>
      <c r="U44" s="73">
        <v>0</v>
      </c>
      <c r="V44" s="73">
        <v>0</v>
      </c>
      <c r="W44" s="73">
        <v>0</v>
      </c>
      <c r="X44" s="73">
        <v>0</v>
      </c>
      <c r="Y44" s="73">
        <v>0</v>
      </c>
      <c r="Z44" s="73">
        <v>0</v>
      </c>
      <c r="AA44" s="73">
        <v>0</v>
      </c>
      <c r="AB44" s="73">
        <v>0</v>
      </c>
      <c r="AC44" s="73">
        <v>0</v>
      </c>
      <c r="AD44" s="73">
        <v>0</v>
      </c>
      <c r="AE44" s="73">
        <v>0</v>
      </c>
      <c r="AF44" s="73">
        <v>0</v>
      </c>
      <c r="AG44" s="73">
        <v>0</v>
      </c>
      <c r="AH44" s="73">
        <v>0</v>
      </c>
      <c r="AI44" s="73">
        <v>0</v>
      </c>
      <c r="AJ44" s="73">
        <v>0</v>
      </c>
      <c r="AK44" s="73">
        <v>0</v>
      </c>
      <c r="AL44" s="73">
        <v>0</v>
      </c>
      <c r="AM44" s="73">
        <v>0</v>
      </c>
      <c r="AN44" s="73">
        <v>0</v>
      </c>
      <c r="AO44" s="73">
        <v>0</v>
      </c>
      <c r="AP44" s="73">
        <v>0</v>
      </c>
      <c r="AQ44" s="73">
        <v>0</v>
      </c>
      <c r="AR44" s="73">
        <v>0</v>
      </c>
      <c r="AS44" s="73">
        <v>0</v>
      </c>
      <c r="AT44" s="73">
        <v>0</v>
      </c>
      <c r="AU44" s="73">
        <v>0</v>
      </c>
      <c r="AV44" s="73">
        <v>0</v>
      </c>
      <c r="AW44" s="73">
        <v>0</v>
      </c>
      <c r="AX44" s="73">
        <v>0</v>
      </c>
      <c r="AY44" s="73">
        <v>0</v>
      </c>
      <c r="AZ44" s="73">
        <v>0</v>
      </c>
      <c r="BA44" s="73">
        <v>0</v>
      </c>
      <c r="BB44" s="73">
        <v>0</v>
      </c>
      <c r="BC44" s="73">
        <v>0</v>
      </c>
    </row>
    <row r="45" spans="2:55" s="5" customFormat="1" x14ac:dyDescent="0.25">
      <c r="B45" s="25" t="s">
        <v>68</v>
      </c>
      <c r="C45" s="25">
        <f>SUM(C43:C44)</f>
        <v>0</v>
      </c>
      <c r="D45" s="25">
        <f t="shared" ref="D45" si="75">SUM(D43:D44)</f>
        <v>0</v>
      </c>
      <c r="E45" s="25">
        <f t="shared" ref="E45" si="76">SUM(E43:E44)</f>
        <v>0</v>
      </c>
      <c r="F45" s="25">
        <f t="shared" ref="F45" si="77">SUM(F43:F44)</f>
        <v>0</v>
      </c>
      <c r="G45" s="76"/>
      <c r="H45" s="50">
        <f t="shared" ref="H45" si="78">SUM(H43:H44)</f>
        <v>0</v>
      </c>
      <c r="I45" s="50">
        <f t="shared" ref="I45" si="79">SUM(I43:I44)</f>
        <v>0</v>
      </c>
      <c r="J45" s="50">
        <f t="shared" ref="J45" si="80">SUM(J43:J44)</f>
        <v>0</v>
      </c>
      <c r="K45" s="50">
        <f t="shared" ref="K45" si="81">SUM(K43:K44)</f>
        <v>0</v>
      </c>
      <c r="L45" s="50">
        <f t="shared" ref="L45" si="82">SUM(L43:L44)</f>
        <v>0</v>
      </c>
      <c r="M45" s="50">
        <f t="shared" ref="M45" si="83">SUM(M43:M44)</f>
        <v>0</v>
      </c>
      <c r="N45" s="50">
        <f t="shared" ref="N45" si="84">SUM(N43:N44)</f>
        <v>0</v>
      </c>
      <c r="O45" s="50">
        <f t="shared" ref="O45" si="85">SUM(O43:O44)</f>
        <v>0</v>
      </c>
      <c r="P45" s="50">
        <f t="shared" ref="P45" si="86">SUM(P43:P44)</f>
        <v>0</v>
      </c>
      <c r="Q45" s="50">
        <f t="shared" ref="Q45" si="87">SUM(Q43:Q44)</f>
        <v>0</v>
      </c>
      <c r="R45" s="50">
        <f t="shared" ref="R45" si="88">SUM(R43:R44)</f>
        <v>0</v>
      </c>
      <c r="S45" s="50">
        <f t="shared" ref="S45" si="89">SUM(S43:S44)</f>
        <v>0</v>
      </c>
      <c r="T45" s="50">
        <f t="shared" ref="T45" si="90">SUM(T43:T44)</f>
        <v>0</v>
      </c>
      <c r="U45" s="50">
        <f t="shared" ref="U45" si="91">SUM(U43:U44)</f>
        <v>0</v>
      </c>
      <c r="V45" s="50">
        <f t="shared" ref="V45" si="92">SUM(V43:V44)</f>
        <v>0</v>
      </c>
      <c r="W45" s="50">
        <f t="shared" ref="W45" si="93">SUM(W43:W44)</f>
        <v>0</v>
      </c>
      <c r="X45" s="50">
        <f t="shared" ref="X45" si="94">SUM(X43:X44)</f>
        <v>0</v>
      </c>
      <c r="Y45" s="50">
        <f t="shared" ref="Y45" si="95">SUM(Y43:Y44)</f>
        <v>0</v>
      </c>
      <c r="Z45" s="50">
        <f t="shared" ref="Z45" si="96">SUM(Z43:Z44)</f>
        <v>0</v>
      </c>
      <c r="AA45" s="50">
        <f t="shared" ref="AA45" si="97">SUM(AA43:AA44)</f>
        <v>0</v>
      </c>
      <c r="AB45" s="50">
        <f t="shared" ref="AB45" si="98">SUM(AB43:AB44)</f>
        <v>0</v>
      </c>
      <c r="AC45" s="50">
        <f t="shared" ref="AC45" si="99">SUM(AC43:AC44)</f>
        <v>0</v>
      </c>
      <c r="AD45" s="50">
        <f t="shared" ref="AD45" si="100">SUM(AD43:AD44)</f>
        <v>0</v>
      </c>
      <c r="AE45" s="50">
        <f t="shared" ref="AE45" si="101">SUM(AE43:AE44)</f>
        <v>0</v>
      </c>
      <c r="AF45" s="50">
        <f t="shared" ref="AF45" si="102">SUM(AF43:AF44)</f>
        <v>0</v>
      </c>
      <c r="AG45" s="50">
        <f t="shared" ref="AG45" si="103">SUM(AG43:AG44)</f>
        <v>0</v>
      </c>
      <c r="AH45" s="50">
        <f t="shared" ref="AH45" si="104">SUM(AH43:AH44)</f>
        <v>0</v>
      </c>
      <c r="AI45" s="50">
        <f t="shared" ref="AI45" si="105">SUM(AI43:AI44)</f>
        <v>0</v>
      </c>
      <c r="AJ45" s="50">
        <f t="shared" ref="AJ45" si="106">SUM(AJ43:AJ44)</f>
        <v>0</v>
      </c>
      <c r="AK45" s="50">
        <f t="shared" ref="AK45" si="107">SUM(AK43:AK44)</f>
        <v>0</v>
      </c>
      <c r="AL45" s="50">
        <f t="shared" ref="AL45" si="108">SUM(AL43:AL44)</f>
        <v>0</v>
      </c>
      <c r="AM45" s="50">
        <f t="shared" ref="AM45" si="109">SUM(AM43:AM44)</f>
        <v>0</v>
      </c>
      <c r="AN45" s="50">
        <f t="shared" ref="AN45" si="110">SUM(AN43:AN44)</f>
        <v>0</v>
      </c>
      <c r="AO45" s="50">
        <f t="shared" ref="AO45" si="111">SUM(AO43:AO44)</f>
        <v>0</v>
      </c>
      <c r="AP45" s="50">
        <f t="shared" ref="AP45" si="112">SUM(AP43:AP44)</f>
        <v>0</v>
      </c>
      <c r="AQ45" s="50">
        <f t="shared" ref="AQ45" si="113">SUM(AQ43:AQ44)</f>
        <v>0</v>
      </c>
      <c r="AR45" s="50">
        <f t="shared" ref="AR45" si="114">SUM(AR43:AR44)</f>
        <v>0</v>
      </c>
      <c r="AS45" s="50">
        <f t="shared" ref="AS45" si="115">SUM(AS43:AS44)</f>
        <v>0</v>
      </c>
      <c r="AT45" s="50">
        <f t="shared" ref="AT45" si="116">SUM(AT43:AT44)</f>
        <v>0</v>
      </c>
      <c r="AU45" s="50">
        <f t="shared" ref="AU45" si="117">SUM(AU43:AU44)</f>
        <v>0</v>
      </c>
      <c r="AV45" s="50">
        <f t="shared" ref="AV45" si="118">SUM(AV43:AV44)</f>
        <v>0</v>
      </c>
      <c r="AW45" s="50">
        <f t="shared" ref="AW45" si="119">SUM(AW43:AW44)</f>
        <v>0</v>
      </c>
      <c r="AX45" s="50">
        <f t="shared" ref="AX45" si="120">SUM(AX43:AX44)</f>
        <v>0</v>
      </c>
      <c r="AY45" s="50">
        <f t="shared" ref="AY45" si="121">SUM(AY43:AY44)</f>
        <v>0</v>
      </c>
      <c r="AZ45" s="50">
        <f t="shared" ref="AZ45" si="122">SUM(AZ43:AZ44)</f>
        <v>0</v>
      </c>
      <c r="BA45" s="50">
        <f t="shared" ref="BA45" si="123">SUM(BA43:BA44)</f>
        <v>0</v>
      </c>
      <c r="BB45" s="50">
        <f t="shared" ref="BB45" si="124">SUM(BB43:BB44)</f>
        <v>0</v>
      </c>
      <c r="BC45" s="50">
        <f t="shared" ref="BC45" si="125">SUM(BC43:BC44)</f>
        <v>0</v>
      </c>
    </row>
    <row r="46" spans="2:55" s="5" customFormat="1" x14ac:dyDescent="0.25">
      <c r="G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</row>
    <row r="47" spans="2:55" s="5" customFormat="1" x14ac:dyDescent="0.25">
      <c r="B47" s="9" t="s">
        <v>17</v>
      </c>
      <c r="C47" s="9"/>
      <c r="D47" s="9"/>
      <c r="E47" s="9"/>
      <c r="F47" s="9"/>
      <c r="G47" s="44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</row>
    <row r="48" spans="2:55" s="5" customFormat="1" x14ac:dyDescent="0.25">
      <c r="B48" s="40" t="s">
        <v>12</v>
      </c>
      <c r="C48" s="5">
        <f t="shared" ref="C48:F49" si="126">C33+C38+C43</f>
        <v>1000</v>
      </c>
      <c r="D48" s="5">
        <f t="shared" si="126"/>
        <v>1000</v>
      </c>
      <c r="E48" s="5">
        <f t="shared" si="126"/>
        <v>1000</v>
      </c>
      <c r="F48" s="5">
        <f t="shared" si="126"/>
        <v>1000</v>
      </c>
      <c r="G48" s="75"/>
      <c r="H48" s="5">
        <f t="shared" ref="H48:AQ48" si="127">H33+H38+H43</f>
        <v>1000</v>
      </c>
      <c r="I48" s="5">
        <f t="shared" si="127"/>
        <v>1000</v>
      </c>
      <c r="J48" s="5">
        <f t="shared" si="127"/>
        <v>1000</v>
      </c>
      <c r="K48" s="5">
        <f t="shared" si="127"/>
        <v>1000</v>
      </c>
      <c r="L48" s="5">
        <f t="shared" si="127"/>
        <v>1000</v>
      </c>
      <c r="M48" s="5">
        <f t="shared" si="127"/>
        <v>1000</v>
      </c>
      <c r="N48" s="65">
        <f t="shared" si="127"/>
        <v>1000</v>
      </c>
      <c r="O48" s="65">
        <f t="shared" si="127"/>
        <v>1000</v>
      </c>
      <c r="P48" s="65">
        <f t="shared" si="127"/>
        <v>1000</v>
      </c>
      <c r="Q48" s="65">
        <f t="shared" si="127"/>
        <v>1000</v>
      </c>
      <c r="R48" s="65">
        <f t="shared" si="127"/>
        <v>1000</v>
      </c>
      <c r="S48" s="65">
        <f t="shared" si="127"/>
        <v>1000</v>
      </c>
      <c r="T48" s="65">
        <f t="shared" si="127"/>
        <v>1000</v>
      </c>
      <c r="U48" s="65">
        <f t="shared" si="127"/>
        <v>1000</v>
      </c>
      <c r="V48" s="65">
        <f t="shared" si="127"/>
        <v>1000</v>
      </c>
      <c r="W48" s="65">
        <f t="shared" si="127"/>
        <v>1000</v>
      </c>
      <c r="X48" s="65">
        <f t="shared" si="127"/>
        <v>1000</v>
      </c>
      <c r="Y48" s="65">
        <f t="shared" si="127"/>
        <v>1000</v>
      </c>
      <c r="Z48" s="65">
        <f t="shared" si="127"/>
        <v>1000</v>
      </c>
      <c r="AA48" s="65">
        <f t="shared" si="127"/>
        <v>1000</v>
      </c>
      <c r="AB48" s="65">
        <f t="shared" si="127"/>
        <v>1000</v>
      </c>
      <c r="AC48" s="65">
        <f t="shared" si="127"/>
        <v>1000</v>
      </c>
      <c r="AD48" s="65">
        <f t="shared" si="127"/>
        <v>1000</v>
      </c>
      <c r="AE48" s="65">
        <f t="shared" si="127"/>
        <v>1000</v>
      </c>
      <c r="AF48" s="65">
        <f t="shared" si="127"/>
        <v>1000</v>
      </c>
      <c r="AG48" s="65">
        <f t="shared" si="127"/>
        <v>1000</v>
      </c>
      <c r="AH48" s="65">
        <f t="shared" si="127"/>
        <v>1000</v>
      </c>
      <c r="AI48" s="65">
        <f t="shared" si="127"/>
        <v>1000</v>
      </c>
      <c r="AJ48" s="65">
        <f t="shared" si="127"/>
        <v>1000</v>
      </c>
      <c r="AK48" s="65">
        <f t="shared" si="127"/>
        <v>1000</v>
      </c>
      <c r="AL48" s="65">
        <f t="shared" si="127"/>
        <v>1000</v>
      </c>
      <c r="AM48" s="65">
        <f t="shared" si="127"/>
        <v>1000</v>
      </c>
      <c r="AN48" s="65">
        <f t="shared" si="127"/>
        <v>1000</v>
      </c>
      <c r="AO48" s="65">
        <f t="shared" si="127"/>
        <v>1000</v>
      </c>
      <c r="AP48" s="65">
        <f t="shared" si="127"/>
        <v>1000</v>
      </c>
      <c r="AQ48" s="65">
        <f t="shared" si="127"/>
        <v>1000</v>
      </c>
      <c r="AR48" s="65">
        <f>AR33+AR38+AR43</f>
        <v>1000</v>
      </c>
      <c r="AS48" s="65">
        <f>AS33+AS38+AS43</f>
        <v>1000</v>
      </c>
      <c r="AT48" s="65">
        <f>AT33+AT38+AT43</f>
        <v>1000</v>
      </c>
      <c r="AU48" s="65">
        <f>AU33+AU38+AU43</f>
        <v>1000</v>
      </c>
      <c r="AV48" s="65">
        <f>AV33+AV38+AV43</f>
        <v>1000</v>
      </c>
      <c r="AW48" s="65">
        <f>AW33+AW38+AW43</f>
        <v>1000</v>
      </c>
      <c r="AX48" s="65">
        <f>AX33+AX38+AX43</f>
        <v>1000</v>
      </c>
      <c r="AY48" s="65">
        <f>AY33+AY38+AY43</f>
        <v>1000</v>
      </c>
      <c r="AZ48" s="65">
        <f>AZ33+AZ38+AZ43</f>
        <v>1000</v>
      </c>
      <c r="BA48" s="65">
        <f>BA33+BA38+BA43</f>
        <v>1000</v>
      </c>
      <c r="BB48" s="65">
        <f>BB33+BB38+BB43</f>
        <v>1000</v>
      </c>
      <c r="BC48" s="65">
        <f>BC33+BC38+BC43</f>
        <v>1000</v>
      </c>
    </row>
    <row r="49" spans="2:55" s="5" customFormat="1" x14ac:dyDescent="0.25">
      <c r="B49" s="40" t="s">
        <v>13</v>
      </c>
      <c r="C49" s="5">
        <f t="shared" si="126"/>
        <v>6009</v>
      </c>
      <c r="D49" s="5">
        <f t="shared" si="126"/>
        <v>27609</v>
      </c>
      <c r="E49" s="5">
        <f t="shared" si="126"/>
        <v>31809</v>
      </c>
      <c r="F49" s="5">
        <f t="shared" si="126"/>
        <v>29309</v>
      </c>
      <c r="G49" s="75"/>
      <c r="H49" s="5">
        <f t="shared" ref="H49:AQ49" si="128">H34+H39-H44</f>
        <v>0</v>
      </c>
      <c r="I49" s="5">
        <f t="shared" si="128"/>
        <v>0</v>
      </c>
      <c r="J49" s="5">
        <f t="shared" si="128"/>
        <v>0</v>
      </c>
      <c r="K49" s="5">
        <f t="shared" si="128"/>
        <v>0</v>
      </c>
      <c r="L49" s="5">
        <f t="shared" si="128"/>
        <v>1025</v>
      </c>
      <c r="M49" s="5">
        <f t="shared" si="128"/>
        <v>1809</v>
      </c>
      <c r="N49" s="65">
        <f t="shared" si="128"/>
        <v>1809</v>
      </c>
      <c r="O49" s="65">
        <f t="shared" si="128"/>
        <v>3059</v>
      </c>
      <c r="P49" s="65">
        <f t="shared" si="128"/>
        <v>4309</v>
      </c>
      <c r="Q49" s="65">
        <f t="shared" si="128"/>
        <v>4809</v>
      </c>
      <c r="R49" s="65">
        <f t="shared" si="128"/>
        <v>6009</v>
      </c>
      <c r="S49" s="65">
        <f t="shared" si="128"/>
        <v>6009</v>
      </c>
      <c r="T49" s="65">
        <f t="shared" si="128"/>
        <v>9609</v>
      </c>
      <c r="U49" s="65">
        <f t="shared" si="128"/>
        <v>13209</v>
      </c>
      <c r="V49" s="65">
        <f t="shared" si="128"/>
        <v>16809</v>
      </c>
      <c r="W49" s="65">
        <f t="shared" si="128"/>
        <v>16809</v>
      </c>
      <c r="X49" s="65">
        <f t="shared" si="128"/>
        <v>16809</v>
      </c>
      <c r="Y49" s="65">
        <f t="shared" si="128"/>
        <v>16809</v>
      </c>
      <c r="Z49" s="65">
        <f t="shared" si="128"/>
        <v>16809</v>
      </c>
      <c r="AA49" s="65">
        <f t="shared" si="128"/>
        <v>16809</v>
      </c>
      <c r="AB49" s="65">
        <f t="shared" si="128"/>
        <v>16809</v>
      </c>
      <c r="AC49" s="65">
        <f t="shared" si="128"/>
        <v>16809</v>
      </c>
      <c r="AD49" s="65">
        <f t="shared" si="128"/>
        <v>16809</v>
      </c>
      <c r="AE49" s="65">
        <f t="shared" si="128"/>
        <v>16809</v>
      </c>
      <c r="AF49" s="65">
        <f t="shared" si="128"/>
        <v>21809</v>
      </c>
      <c r="AG49" s="65">
        <f t="shared" si="128"/>
        <v>21809</v>
      </c>
      <c r="AH49" s="65">
        <f t="shared" si="128"/>
        <v>21809</v>
      </c>
      <c r="AI49" s="65">
        <f t="shared" si="128"/>
        <v>21809</v>
      </c>
      <c r="AJ49" s="65">
        <f t="shared" si="128"/>
        <v>21809</v>
      </c>
      <c r="AK49" s="65">
        <f t="shared" si="128"/>
        <v>21809</v>
      </c>
      <c r="AL49" s="65">
        <f t="shared" si="128"/>
        <v>21809</v>
      </c>
      <c r="AM49" s="65">
        <f t="shared" si="128"/>
        <v>24309</v>
      </c>
      <c r="AN49" s="65">
        <f t="shared" si="128"/>
        <v>24309</v>
      </c>
      <c r="AO49" s="65">
        <f t="shared" si="128"/>
        <v>24309</v>
      </c>
      <c r="AP49" s="65">
        <f t="shared" si="128"/>
        <v>24309</v>
      </c>
      <c r="AQ49" s="65">
        <f t="shared" si="128"/>
        <v>24309</v>
      </c>
      <c r="AR49" s="65">
        <f>AR34+AR39-AR44</f>
        <v>26809</v>
      </c>
      <c r="AS49" s="65">
        <f>AS34+AS39-AS44</f>
        <v>26809</v>
      </c>
      <c r="AT49" s="65">
        <f>AT34+AT39-AT44</f>
        <v>26809</v>
      </c>
      <c r="AU49" s="65">
        <f>AU34+AU39-AU44</f>
        <v>26809</v>
      </c>
      <c r="AV49" s="65">
        <f>AV34+AV39-AV44</f>
        <v>26809</v>
      </c>
      <c r="AW49" s="65">
        <f>AW34+AW39-AW44</f>
        <v>29309</v>
      </c>
      <c r="AX49" s="65">
        <f>AX34+AX39-AX44</f>
        <v>29309</v>
      </c>
      <c r="AY49" s="65">
        <f>AY34+AY39-AY44</f>
        <v>29309</v>
      </c>
      <c r="AZ49" s="65">
        <f>AZ34+AZ39-AZ44</f>
        <v>29309</v>
      </c>
      <c r="BA49" s="65">
        <f>BA34+BA39-BA44</f>
        <v>29309</v>
      </c>
      <c r="BB49" s="65">
        <f>BB34+BB39-BB44</f>
        <v>29309</v>
      </c>
      <c r="BC49" s="65">
        <f>BC34+BC39-BC44</f>
        <v>29309</v>
      </c>
    </row>
    <row r="50" spans="2:55" s="5" customFormat="1" x14ac:dyDescent="0.25">
      <c r="B50" s="25" t="s">
        <v>65</v>
      </c>
      <c r="C50" s="25">
        <f>SUM(C48:C49)</f>
        <v>7009</v>
      </c>
      <c r="D50" s="25">
        <f>SUM(D48:D49)</f>
        <v>28609</v>
      </c>
      <c r="E50" s="25">
        <f>SUM(E48:E49)</f>
        <v>32809</v>
      </c>
      <c r="F50" s="25">
        <f>SUM(F48:F49)</f>
        <v>30309</v>
      </c>
      <c r="G50" s="76"/>
      <c r="H50" s="25"/>
      <c r="I50" s="25"/>
      <c r="J50" s="25">
        <f>SUM(J48:J49)</f>
        <v>1000</v>
      </c>
      <c r="K50" s="25">
        <f>SUM(K48:K49)</f>
        <v>1000</v>
      </c>
      <c r="L50" s="25">
        <f>SUM(L48:L49)</f>
        <v>2025</v>
      </c>
      <c r="M50" s="25">
        <v>161</v>
      </c>
      <c r="N50" s="50">
        <f t="shared" ref="N50:AQ50" si="129">SUM(N48:N49)</f>
        <v>2809</v>
      </c>
      <c r="O50" s="50">
        <f t="shared" si="129"/>
        <v>4059</v>
      </c>
      <c r="P50" s="50">
        <f t="shared" si="129"/>
        <v>5309</v>
      </c>
      <c r="Q50" s="50">
        <f t="shared" si="129"/>
        <v>5809</v>
      </c>
      <c r="R50" s="50">
        <f t="shared" si="129"/>
        <v>7009</v>
      </c>
      <c r="S50" s="50">
        <f t="shared" si="129"/>
        <v>7009</v>
      </c>
      <c r="T50" s="50">
        <f t="shared" si="129"/>
        <v>10609</v>
      </c>
      <c r="U50" s="50">
        <f t="shared" si="129"/>
        <v>14209</v>
      </c>
      <c r="V50" s="50">
        <f t="shared" si="129"/>
        <v>17809</v>
      </c>
      <c r="W50" s="50">
        <f t="shared" si="129"/>
        <v>17809</v>
      </c>
      <c r="X50" s="50">
        <f t="shared" si="129"/>
        <v>17809</v>
      </c>
      <c r="Y50" s="50">
        <f t="shared" si="129"/>
        <v>17809</v>
      </c>
      <c r="Z50" s="50">
        <f t="shared" si="129"/>
        <v>17809</v>
      </c>
      <c r="AA50" s="50">
        <f t="shared" si="129"/>
        <v>17809</v>
      </c>
      <c r="AB50" s="50">
        <f t="shared" si="129"/>
        <v>17809</v>
      </c>
      <c r="AC50" s="50">
        <f t="shared" si="129"/>
        <v>17809</v>
      </c>
      <c r="AD50" s="50">
        <f t="shared" si="129"/>
        <v>17809</v>
      </c>
      <c r="AE50" s="50">
        <f t="shared" si="129"/>
        <v>17809</v>
      </c>
      <c r="AF50" s="50">
        <f t="shared" si="129"/>
        <v>22809</v>
      </c>
      <c r="AG50" s="50">
        <f t="shared" si="129"/>
        <v>22809</v>
      </c>
      <c r="AH50" s="50">
        <f t="shared" si="129"/>
        <v>22809</v>
      </c>
      <c r="AI50" s="50">
        <f t="shared" si="129"/>
        <v>22809</v>
      </c>
      <c r="AJ50" s="50">
        <f t="shared" si="129"/>
        <v>22809</v>
      </c>
      <c r="AK50" s="50">
        <f t="shared" si="129"/>
        <v>22809</v>
      </c>
      <c r="AL50" s="50">
        <f t="shared" si="129"/>
        <v>22809</v>
      </c>
      <c r="AM50" s="50">
        <f t="shared" si="129"/>
        <v>25309</v>
      </c>
      <c r="AN50" s="50">
        <f t="shared" si="129"/>
        <v>25309</v>
      </c>
      <c r="AO50" s="50">
        <f t="shared" si="129"/>
        <v>25309</v>
      </c>
      <c r="AP50" s="50">
        <f t="shared" si="129"/>
        <v>25309</v>
      </c>
      <c r="AQ50" s="50">
        <f t="shared" si="129"/>
        <v>25309</v>
      </c>
      <c r="AR50" s="50">
        <f t="shared" ref="AR50:BC50" si="130">SUM(AR48:AR49)</f>
        <v>27809</v>
      </c>
      <c r="AS50" s="50">
        <f t="shared" si="130"/>
        <v>27809</v>
      </c>
      <c r="AT50" s="50">
        <f t="shared" si="130"/>
        <v>27809</v>
      </c>
      <c r="AU50" s="50">
        <f t="shared" si="130"/>
        <v>27809</v>
      </c>
      <c r="AV50" s="50">
        <f t="shared" si="130"/>
        <v>27809</v>
      </c>
      <c r="AW50" s="50">
        <f t="shared" si="130"/>
        <v>30309</v>
      </c>
      <c r="AX50" s="50">
        <f t="shared" si="130"/>
        <v>30309</v>
      </c>
      <c r="AY50" s="50">
        <f t="shared" si="130"/>
        <v>30309</v>
      </c>
      <c r="AZ50" s="50">
        <f t="shared" si="130"/>
        <v>30309</v>
      </c>
      <c r="BA50" s="50">
        <f t="shared" si="130"/>
        <v>30309</v>
      </c>
      <c r="BB50" s="50">
        <f t="shared" si="130"/>
        <v>30309</v>
      </c>
      <c r="BC50" s="50">
        <f t="shared" si="130"/>
        <v>30309</v>
      </c>
    </row>
    <row r="51" spans="2:55" x14ac:dyDescent="0.25">
      <c r="C51" s="13"/>
      <c r="D51" s="13"/>
      <c r="E51" s="13"/>
      <c r="F51" s="13"/>
    </row>
    <row r="52" spans="2:55" x14ac:dyDescent="0.25">
      <c r="B52" s="3" t="s">
        <v>18</v>
      </c>
      <c r="C52" s="16">
        <f>SUM(C35,C40)-SUM(C50)</f>
        <v>0</v>
      </c>
      <c r="D52" s="16">
        <f>SUM(D35,D40)-SUM(D50)</f>
        <v>0</v>
      </c>
      <c r="E52" s="16">
        <f t="shared" ref="E52:F52" si="131">SUM(E35,E40)-SUM(E48:E49)</f>
        <v>0</v>
      </c>
      <c r="F52" s="16">
        <f t="shared" si="131"/>
        <v>0</v>
      </c>
      <c r="G52" s="64"/>
      <c r="H52" s="16">
        <f t="shared" ref="H52:BC52" si="132">SUM(H35,H40)-SUM(H48:H49)</f>
        <v>0</v>
      </c>
      <c r="I52" s="16">
        <f t="shared" si="132"/>
        <v>0</v>
      </c>
      <c r="J52" s="16">
        <f t="shared" si="132"/>
        <v>0</v>
      </c>
      <c r="K52" s="16">
        <f t="shared" si="132"/>
        <v>0</v>
      </c>
      <c r="L52" s="16">
        <f t="shared" si="132"/>
        <v>0</v>
      </c>
      <c r="M52" s="16">
        <f t="shared" si="132"/>
        <v>0</v>
      </c>
      <c r="N52" s="16">
        <f t="shared" si="132"/>
        <v>0</v>
      </c>
      <c r="O52" s="16">
        <f t="shared" si="132"/>
        <v>0</v>
      </c>
      <c r="P52" s="16">
        <f t="shared" si="132"/>
        <v>0</v>
      </c>
      <c r="Q52" s="16">
        <f t="shared" si="132"/>
        <v>0</v>
      </c>
      <c r="R52" s="16">
        <f t="shared" si="132"/>
        <v>0</v>
      </c>
      <c r="S52" s="16">
        <f t="shared" si="132"/>
        <v>0</v>
      </c>
      <c r="T52" s="16">
        <f t="shared" si="132"/>
        <v>0</v>
      </c>
      <c r="U52" s="16">
        <f t="shared" si="132"/>
        <v>0</v>
      </c>
      <c r="V52" s="16">
        <f t="shared" si="132"/>
        <v>0</v>
      </c>
      <c r="W52" s="16">
        <f t="shared" si="132"/>
        <v>0</v>
      </c>
      <c r="X52" s="16">
        <f t="shared" si="132"/>
        <v>0</v>
      </c>
      <c r="Y52" s="16">
        <f t="shared" si="132"/>
        <v>0</v>
      </c>
      <c r="Z52" s="16">
        <f t="shared" si="132"/>
        <v>0</v>
      </c>
      <c r="AA52" s="16">
        <f t="shared" si="132"/>
        <v>0</v>
      </c>
      <c r="AB52" s="16">
        <f t="shared" si="132"/>
        <v>0</v>
      </c>
      <c r="AC52" s="16">
        <f t="shared" si="132"/>
        <v>0</v>
      </c>
      <c r="AD52" s="16">
        <f t="shared" si="132"/>
        <v>0</v>
      </c>
      <c r="AE52" s="16">
        <f t="shared" si="132"/>
        <v>0</v>
      </c>
      <c r="AF52" s="16">
        <f t="shared" si="132"/>
        <v>0</v>
      </c>
      <c r="AG52" s="16">
        <f t="shared" si="132"/>
        <v>0</v>
      </c>
      <c r="AH52" s="16">
        <f t="shared" si="132"/>
        <v>0</v>
      </c>
      <c r="AI52" s="16">
        <f t="shared" si="132"/>
        <v>0</v>
      </c>
      <c r="AJ52" s="16">
        <f t="shared" si="132"/>
        <v>0</v>
      </c>
      <c r="AK52" s="16">
        <f t="shared" si="132"/>
        <v>0</v>
      </c>
      <c r="AL52" s="16">
        <f t="shared" si="132"/>
        <v>0</v>
      </c>
      <c r="AM52" s="16">
        <f t="shared" si="132"/>
        <v>0</v>
      </c>
      <c r="AN52" s="16">
        <f t="shared" si="132"/>
        <v>0</v>
      </c>
      <c r="AO52" s="16">
        <f t="shared" si="132"/>
        <v>0</v>
      </c>
      <c r="AP52" s="16">
        <f t="shared" si="132"/>
        <v>0</v>
      </c>
      <c r="AQ52" s="16">
        <f t="shared" si="132"/>
        <v>0</v>
      </c>
      <c r="AR52" s="16">
        <f t="shared" si="132"/>
        <v>0</v>
      </c>
      <c r="AS52" s="16">
        <f t="shared" si="132"/>
        <v>0</v>
      </c>
      <c r="AT52" s="16">
        <f t="shared" si="132"/>
        <v>0</v>
      </c>
      <c r="AU52" s="16">
        <f t="shared" si="132"/>
        <v>0</v>
      </c>
      <c r="AV52" s="16">
        <f t="shared" si="132"/>
        <v>0</v>
      </c>
      <c r="AW52" s="16">
        <f t="shared" si="132"/>
        <v>0</v>
      </c>
      <c r="AX52" s="16">
        <f t="shared" si="132"/>
        <v>0</v>
      </c>
      <c r="AY52" s="16">
        <f t="shared" si="132"/>
        <v>0</v>
      </c>
      <c r="AZ52" s="16">
        <f t="shared" si="132"/>
        <v>0</v>
      </c>
      <c r="BA52" s="16">
        <f t="shared" si="132"/>
        <v>0</v>
      </c>
      <c r="BB52" s="16">
        <f t="shared" si="132"/>
        <v>0</v>
      </c>
      <c r="BC52" s="16">
        <f t="shared" si="132"/>
        <v>0</v>
      </c>
    </row>
    <row r="53" spans="2:55" x14ac:dyDescent="0.25">
      <c r="B53" s="3"/>
      <c r="C53" s="16"/>
      <c r="D53" s="16"/>
      <c r="E53" s="16"/>
      <c r="F53" s="16"/>
      <c r="G53" s="64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</row>
    <row r="54" spans="2:55" s="69" customFormat="1" x14ac:dyDescent="0.25">
      <c r="B54" s="70" t="s">
        <v>146</v>
      </c>
      <c r="C54" s="67"/>
      <c r="D54" s="67"/>
      <c r="E54" s="67"/>
      <c r="F54" s="67"/>
      <c r="G54" s="68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</row>
    <row r="55" spans="2:55" x14ac:dyDescent="0.25">
      <c r="C55" s="13"/>
      <c r="D55" s="13"/>
      <c r="E55" s="13"/>
      <c r="F55" s="13"/>
    </row>
    <row r="56" spans="2:55" x14ac:dyDescent="0.25">
      <c r="B56" s="1" t="s">
        <v>74</v>
      </c>
      <c r="C56" s="13"/>
      <c r="D56" s="13"/>
      <c r="E56" s="13"/>
      <c r="F56" s="13"/>
    </row>
    <row r="57" spans="2:55" x14ac:dyDescent="0.25">
      <c r="B57" s="2" t="s">
        <v>12</v>
      </c>
      <c r="C57" s="5">
        <f>SUM(H57:S57)</f>
        <v>768</v>
      </c>
      <c r="D57" s="5">
        <f>SUM(T57:AE57)</f>
        <v>233.9938312871349</v>
      </c>
      <c r="E57" s="5">
        <f>SUM(AF57:AQ57)</f>
        <v>85.485396479919501</v>
      </c>
      <c r="F57" s="5">
        <f>SUM(AG57:AR57)</f>
        <v>78.604828370358263</v>
      </c>
      <c r="G57" s="62"/>
      <c r="H57" s="52">
        <v>0</v>
      </c>
      <c r="I57" s="52">
        <v>0</v>
      </c>
      <c r="J57" s="52">
        <v>80</v>
      </c>
      <c r="K57" s="52">
        <v>80</v>
      </c>
      <c r="L57" s="52">
        <v>100</v>
      </c>
      <c r="M57" s="73">
        <v>99</v>
      </c>
      <c r="N57" s="73">
        <v>95</v>
      </c>
      <c r="O57" s="73">
        <v>84</v>
      </c>
      <c r="P57" s="73">
        <v>72</v>
      </c>
      <c r="Q57" s="73">
        <v>66</v>
      </c>
      <c r="R57" s="73">
        <v>52</v>
      </c>
      <c r="S57" s="73">
        <v>40</v>
      </c>
      <c r="T57" s="65">
        <f>T62*T48</f>
        <v>29.674954640465675</v>
      </c>
      <c r="U57" s="65">
        <f>U62*U48</f>
        <v>27.286470116096343</v>
      </c>
      <c r="V57" s="65">
        <f>V62*V48</f>
        <v>25.090230479453727</v>
      </c>
      <c r="W57" s="65">
        <f>W62*W48</f>
        <v>23.070762280121901</v>
      </c>
      <c r="X57" s="65">
        <f>X62*X48</f>
        <v>21.213837498294833</v>
      </c>
      <c r="Y57" s="65">
        <f>Y62*Y48</f>
        <v>19.506373302273136</v>
      </c>
      <c r="Z57" s="65">
        <f>Z62*Z48</f>
        <v>17.936339874302266</v>
      </c>
      <c r="AA57" s="65">
        <f>AA62*AA48</f>
        <v>16.492675655345696</v>
      </c>
      <c r="AB57" s="65">
        <f>AB62*AB48</f>
        <v>15.165209411656171</v>
      </c>
      <c r="AC57" s="65">
        <f>AC62*AC48</f>
        <v>13.944588574070538</v>
      </c>
      <c r="AD57" s="65">
        <f>AD62*AD48</f>
        <v>12.822213345147787</v>
      </c>
      <c r="AE57" s="65">
        <f>AE62*AE48</f>
        <v>11.790176109906817</v>
      </c>
      <c r="AF57" s="65">
        <f>AF62*AF48</f>
        <v>10.841205723286555</v>
      </c>
      <c r="AG57" s="65">
        <f>AG62*AG48</f>
        <v>9.9686162818097266</v>
      </c>
      <c r="AH57" s="65">
        <f>AH62*AH48</f>
        <v>9.1662600185246319</v>
      </c>
      <c r="AI57" s="65">
        <f>AI62*AI48</f>
        <v>8.4284839893496191</v>
      </c>
      <c r="AJ57" s="65">
        <f>AJ62*AJ48</f>
        <v>7.7500902456569287</v>
      </c>
      <c r="AK57" s="65">
        <f>AK62*AK48</f>
        <v>7.126299212494736</v>
      </c>
      <c r="AL57" s="65">
        <f>AL62*AL48</f>
        <v>6.552716014431188</v>
      </c>
      <c r="AM57" s="65">
        <f>AM62*AM48</f>
        <v>6.0252995117716113</v>
      </c>
      <c r="AN57" s="65">
        <f>AN62*AN48</f>
        <v>5.5403338289957356</v>
      </c>
      <c r="AO57" s="65">
        <f>AO62*AO48</f>
        <v>5.0944021748205586</v>
      </c>
      <c r="AP57" s="65">
        <f>AP62*AP48</f>
        <v>4.6843627694399732</v>
      </c>
      <c r="AQ57" s="65">
        <f>AQ62*AQ48</f>
        <v>4.3073267093382261</v>
      </c>
      <c r="AR57" s="65">
        <f>AR62*AR48</f>
        <v>3.960637613725321</v>
      </c>
      <c r="AS57" s="65">
        <f>AS62*AS48</f>
        <v>3.6418529091947818</v>
      </c>
      <c r="AT57" s="65">
        <f>AT62*AT48</f>
        <v>3.3487266207461515</v>
      </c>
      <c r="AU57" s="65">
        <f>AU62*AU48</f>
        <v>3.0791935479276016</v>
      </c>
      <c r="AV57" s="65">
        <f>AV62*AV48</f>
        <v>2.83135471461279</v>
      </c>
      <c r="AW57" s="65">
        <f>AW62*AW48</f>
        <v>2.6034639898993968</v>
      </c>
      <c r="AX57" s="65">
        <f>AX62*AX48</f>
        <v>2.3939157858678382</v>
      </c>
      <c r="AY57" s="65">
        <f>AY62*AY48</f>
        <v>2.2012337455255837</v>
      </c>
      <c r="AZ57" s="65">
        <f>AZ62*AZ48</f>
        <v>2.0240603412387936</v>
      </c>
      <c r="BA57" s="65">
        <f>BA62*BA48</f>
        <v>1.8611473103677647</v>
      </c>
      <c r="BB57" s="65">
        <f>BB62*BB48</f>
        <v>1.7113468607211382</v>
      </c>
      <c r="BC57" s="65">
        <f>BC62*BC48</f>
        <v>1.5736035838675115</v>
      </c>
    </row>
    <row r="58" spans="2:55" x14ac:dyDescent="0.25">
      <c r="B58" s="2" t="s">
        <v>13</v>
      </c>
      <c r="C58" s="5">
        <f>SUM(H58:S58)</f>
        <v>614</v>
      </c>
      <c r="D58" s="5">
        <f>SUM(T58:AE58)</f>
        <v>2002.5847848807418</v>
      </c>
      <c r="E58" s="5">
        <f>SUM(AF58:AQ58)</f>
        <v>1066.4494124544844</v>
      </c>
      <c r="F58" s="5">
        <f>SUM(AG58:AR58)</f>
        <v>994.41834405506711</v>
      </c>
      <c r="G58" s="62"/>
      <c r="H58" s="52">
        <v>0</v>
      </c>
      <c r="I58" s="52">
        <v>0</v>
      </c>
      <c r="J58" s="52">
        <v>0</v>
      </c>
      <c r="K58" s="52">
        <v>0</v>
      </c>
      <c r="L58" s="52">
        <v>0</v>
      </c>
      <c r="M58" s="73">
        <v>62</v>
      </c>
      <c r="N58" s="73">
        <v>78</v>
      </c>
      <c r="O58" s="73">
        <v>82</v>
      </c>
      <c r="P58" s="73">
        <v>96</v>
      </c>
      <c r="Q58" s="73">
        <v>98</v>
      </c>
      <c r="R58" s="73">
        <v>96</v>
      </c>
      <c r="S58" s="73">
        <v>102</v>
      </c>
      <c r="T58" s="65">
        <f>T63*T49</f>
        <v>157.68606085325544</v>
      </c>
      <c r="U58" s="65">
        <f>U63*U49</f>
        <v>199.31608335365357</v>
      </c>
      <c r="V58" s="65">
        <f>V63*V49</f>
        <v>233.22310607783697</v>
      </c>
      <c r="W58" s="65">
        <f>W63*W49</f>
        <v>214.45139146727271</v>
      </c>
      <c r="X58" s="65">
        <f>X63*X49</f>
        <v>197.19057890816674</v>
      </c>
      <c r="Y58" s="65">
        <f>Y63*Y49</f>
        <v>181.31905857123809</v>
      </c>
      <c r="Z58" s="65">
        <f>Z63*Z49</f>
        <v>166.72500878691051</v>
      </c>
      <c r="AA58" s="65">
        <f>AA63*AA49</f>
        <v>153.30560821367928</v>
      </c>
      <c r="AB58" s="65">
        <f>AB63*AB49</f>
        <v>140.96631141765039</v>
      </c>
      <c r="AC58" s="65">
        <f>AC63*AC49</f>
        <v>129.6201827593994</v>
      </c>
      <c r="AD58" s="65">
        <f>AD63*AD49</f>
        <v>119.18728389509666</v>
      </c>
      <c r="AE58" s="65">
        <f>AE63*AE49</f>
        <v>109.59411057658185</v>
      </c>
      <c r="AF58" s="65">
        <f>AF63*AF49</f>
        <v>130.74900279192238</v>
      </c>
      <c r="AG58" s="65">
        <f>AG63*AG49</f>
        <v>120.22524720311421</v>
      </c>
      <c r="AH58" s="65">
        <f>AH63*AH49</f>
        <v>110.54853005688003</v>
      </c>
      <c r="AI58" s="65">
        <f>AI63*AI49</f>
        <v>101.6506747296615</v>
      </c>
      <c r="AJ58" s="65">
        <f>AJ63*AJ49</f>
        <v>93.468992013543044</v>
      </c>
      <c r="AK58" s="65">
        <f>AK63*AK49</f>
        <v>85.945838443888775</v>
      </c>
      <c r="AL58" s="65">
        <f>AL63*AL49</f>
        <v>79.02821017640531</v>
      </c>
      <c r="AM58" s="65">
        <f>AM63*AM49</f>
        <v>80.997344511319028</v>
      </c>
      <c r="AN58" s="65">
        <f>AN63*AN49</f>
        <v>74.478011753300677</v>
      </c>
      <c r="AO58" s="65">
        <f>AO63*AO49</f>
        <v>68.483408538777809</v>
      </c>
      <c r="AP58" s="65">
        <f>AP63*AP49</f>
        <v>62.971300316449401</v>
      </c>
      <c r="AQ58" s="65">
        <f>AQ63*AQ49</f>
        <v>57.902851919222371</v>
      </c>
      <c r="AR58" s="65">
        <f>AR63*AR49</f>
        <v>58.717934392505072</v>
      </c>
      <c r="AS58" s="65">
        <f>AS63*AS49</f>
        <v>53.991831882876063</v>
      </c>
      <c r="AT58" s="65">
        <f>AT63*AT49</f>
        <v>49.646124991086978</v>
      </c>
      <c r="AU58" s="65">
        <f>AU63*AU49</f>
        <v>45.650196347798712</v>
      </c>
      <c r="AV58" s="65">
        <f>AV63*AV49</f>
        <v>41.975892921485958</v>
      </c>
      <c r="AW58" s="65">
        <f>AW63*AW49</f>
        <v>42.196615936022056</v>
      </c>
      <c r="AX58" s="65">
        <f>AX63*AX49</f>
        <v>38.800285078400115</v>
      </c>
      <c r="AY58" s="65">
        <f>AY63*AY49</f>
        <v>35.677318874283188</v>
      </c>
      <c r="AZ58" s="65">
        <f>AZ63*AZ49</f>
        <v>32.805714687026445</v>
      </c>
      <c r="BA58" s="65">
        <f>BA63*BA49</f>
        <v>30.165240833226857</v>
      </c>
      <c r="BB58" s="65">
        <f>BB63*BB49</f>
        <v>27.737294041834371</v>
      </c>
      <c r="BC58" s="65">
        <f>BC63*BC49</f>
        <v>25.504768386126635</v>
      </c>
    </row>
    <row r="59" spans="2:55" x14ac:dyDescent="0.25">
      <c r="B59" s="49" t="s">
        <v>21</v>
      </c>
      <c r="C59" s="25">
        <f>SUM(C57:C58)</f>
        <v>1382</v>
      </c>
      <c r="D59" s="25">
        <f>SUM(D57:D58)</f>
        <v>2236.5786161678766</v>
      </c>
      <c r="E59" s="25">
        <f>SUM(E57:E58)</f>
        <v>1151.9348089344039</v>
      </c>
      <c r="F59" s="25">
        <f>SUM(F57:F58)</f>
        <v>1073.0231724254254</v>
      </c>
      <c r="G59" s="63"/>
      <c r="H59" s="49">
        <f t="shared" ref="H59:I59" si="133">SUM(H57:H58)</f>
        <v>0</v>
      </c>
      <c r="I59" s="49">
        <f t="shared" si="133"/>
        <v>0</v>
      </c>
      <c r="J59" s="49">
        <f>SUM(J57:J58)</f>
        <v>80</v>
      </c>
      <c r="K59" s="49">
        <f>SUM(K57:K58)</f>
        <v>80</v>
      </c>
      <c r="L59" s="49">
        <f>SUM(L57:L58)</f>
        <v>100</v>
      </c>
      <c r="M59" s="49">
        <v>161</v>
      </c>
      <c r="N59" s="50">
        <f>SUM(N57:N58)</f>
        <v>173</v>
      </c>
      <c r="O59" s="50">
        <f t="shared" ref="O59:AQ59" si="134">SUM(O57:O58)</f>
        <v>166</v>
      </c>
      <c r="P59" s="50">
        <f t="shared" si="134"/>
        <v>168</v>
      </c>
      <c r="Q59" s="50">
        <f t="shared" si="134"/>
        <v>164</v>
      </c>
      <c r="R59" s="50">
        <f t="shared" si="134"/>
        <v>148</v>
      </c>
      <c r="S59" s="50">
        <f t="shared" si="134"/>
        <v>142</v>
      </c>
      <c r="T59" s="50">
        <f t="shared" si="134"/>
        <v>187.36101549372111</v>
      </c>
      <c r="U59" s="50">
        <f t="shared" si="134"/>
        <v>226.60255346974992</v>
      </c>
      <c r="V59" s="50">
        <f t="shared" si="134"/>
        <v>258.31333655729071</v>
      </c>
      <c r="W59" s="50">
        <f t="shared" si="134"/>
        <v>237.52215374739461</v>
      </c>
      <c r="X59" s="50">
        <f t="shared" si="134"/>
        <v>218.40441640646156</v>
      </c>
      <c r="Y59" s="50">
        <f t="shared" si="134"/>
        <v>200.82543187351123</v>
      </c>
      <c r="Z59" s="50">
        <f t="shared" si="134"/>
        <v>184.66134866121277</v>
      </c>
      <c r="AA59" s="50">
        <f t="shared" si="134"/>
        <v>169.79828386902497</v>
      </c>
      <c r="AB59" s="50">
        <f t="shared" si="134"/>
        <v>156.13152082930657</v>
      </c>
      <c r="AC59" s="50">
        <f t="shared" si="134"/>
        <v>143.56477133346993</v>
      </c>
      <c r="AD59" s="50">
        <f t="shared" si="134"/>
        <v>132.00949724024446</v>
      </c>
      <c r="AE59" s="50">
        <f t="shared" si="134"/>
        <v>121.38428668648868</v>
      </c>
      <c r="AF59" s="50">
        <f t="shared" si="134"/>
        <v>141.59020851520893</v>
      </c>
      <c r="AG59" s="50">
        <f t="shared" si="134"/>
        <v>130.19386348492392</v>
      </c>
      <c r="AH59" s="50">
        <f t="shared" si="134"/>
        <v>119.71479007540466</v>
      </c>
      <c r="AI59" s="50">
        <f t="shared" si="134"/>
        <v>110.07915871901112</v>
      </c>
      <c r="AJ59" s="50">
        <f t="shared" si="134"/>
        <v>101.21908225919998</v>
      </c>
      <c r="AK59" s="50">
        <f t="shared" si="134"/>
        <v>93.072137656383518</v>
      </c>
      <c r="AL59" s="50">
        <f t="shared" si="134"/>
        <v>85.580926190836493</v>
      </c>
      <c r="AM59" s="50">
        <f t="shared" si="134"/>
        <v>87.022644023090635</v>
      </c>
      <c r="AN59" s="50">
        <f t="shared" si="134"/>
        <v>80.018345582296419</v>
      </c>
      <c r="AO59" s="50">
        <f t="shared" si="134"/>
        <v>73.577810713598367</v>
      </c>
      <c r="AP59" s="50">
        <f t="shared" si="134"/>
        <v>67.655663085889373</v>
      </c>
      <c r="AQ59" s="50">
        <f t="shared" si="134"/>
        <v>62.210178628560598</v>
      </c>
      <c r="AR59" s="50">
        <f t="shared" ref="AR59:BC59" si="135">SUM(AR57:AR58)</f>
        <v>62.678572006230389</v>
      </c>
      <c r="AS59" s="50">
        <f t="shared" si="135"/>
        <v>57.633684792070845</v>
      </c>
      <c r="AT59" s="50">
        <f t="shared" si="135"/>
        <v>52.994851611833127</v>
      </c>
      <c r="AU59" s="50">
        <f t="shared" si="135"/>
        <v>48.729389895726314</v>
      </c>
      <c r="AV59" s="50">
        <f t="shared" si="135"/>
        <v>44.807247636098751</v>
      </c>
      <c r="AW59" s="50">
        <f t="shared" si="135"/>
        <v>44.800079925921452</v>
      </c>
      <c r="AX59" s="50">
        <f t="shared" si="135"/>
        <v>41.194200864267955</v>
      </c>
      <c r="AY59" s="50">
        <f t="shared" si="135"/>
        <v>37.878552619808772</v>
      </c>
      <c r="AZ59" s="50">
        <f t="shared" si="135"/>
        <v>34.829775028265239</v>
      </c>
      <c r="BA59" s="50">
        <f t="shared" si="135"/>
        <v>32.026388143594623</v>
      </c>
      <c r="BB59" s="50">
        <f t="shared" si="135"/>
        <v>29.44864090255551</v>
      </c>
      <c r="BC59" s="50">
        <f t="shared" si="135"/>
        <v>27.078371969994148</v>
      </c>
    </row>
    <row r="61" spans="2:55" x14ac:dyDescent="0.25">
      <c r="B61" s="1" t="s">
        <v>73</v>
      </c>
      <c r="C61" s="13"/>
      <c r="D61" s="13"/>
      <c r="E61" s="13"/>
      <c r="F61" s="13"/>
    </row>
    <row r="62" spans="2:55" x14ac:dyDescent="0.25">
      <c r="B62" s="2" t="s">
        <v>19</v>
      </c>
      <c r="C62" s="4">
        <f>AVERAGE(H62:S62)</f>
        <v>5.2132364127292385E-2</v>
      </c>
      <c r="D62" s="4">
        <f>AVERAGE(T62:AE62)</f>
        <v>1.9499485940594578E-2</v>
      </c>
      <c r="E62" s="4">
        <f>AVERAGE(AF62:AQ62)</f>
        <v>7.1237830399932915E-3</v>
      </c>
      <c r="F62" s="4">
        <f>AVERAGE(AG62:AR62)</f>
        <v>6.5504023641965205E-3</v>
      </c>
      <c r="G62" s="62"/>
      <c r="J62">
        <f>J57/J48</f>
        <v>0.08</v>
      </c>
      <c r="K62" s="8">
        <f>J62*(1-K14)</f>
        <v>8.0500782472613469E-2</v>
      </c>
      <c r="L62" s="8">
        <f>K62*(1-L14)</f>
        <v>6.6428992150629057E-2</v>
      </c>
      <c r="M62" s="8">
        <f>L62*(1-M14)</f>
        <v>6.197664683222228E-2</v>
      </c>
      <c r="N62" s="46">
        <f>M62*(1-N14)</f>
        <v>5.3801335378223111E-2</v>
      </c>
      <c r="O62" s="46">
        <f>N62*(1-O14)</f>
        <v>4.38292787653893E-2</v>
      </c>
      <c r="P62" s="46">
        <f>O62*(1-P14)</f>
        <v>3.5334278105805417E-2</v>
      </c>
      <c r="Q62" s="46">
        <f>P62*(1-Q14)</f>
        <v>3.2729241131730348E-2</v>
      </c>
      <c r="R62" s="46">
        <f>Q62*(1-R14)</f>
        <v>3.445057448562705E-2</v>
      </c>
      <c r="S62" s="46">
        <f>R62*(1-S14)</f>
        <v>3.2272511950683785E-2</v>
      </c>
      <c r="T62" s="46">
        <f>S62*(1-T14)</f>
        <v>2.9674954640465673E-2</v>
      </c>
      <c r="U62" s="46">
        <f>T62*(1-U14)</f>
        <v>2.7286470116096341E-2</v>
      </c>
      <c r="V62" s="46">
        <f>U62*(1-V14)</f>
        <v>2.5090230479453728E-2</v>
      </c>
      <c r="W62" s="46">
        <f>V62*(1-W14)</f>
        <v>2.30707622801219E-2</v>
      </c>
      <c r="X62" s="46">
        <f>W62*(1-X14)</f>
        <v>2.1213837498294832E-2</v>
      </c>
      <c r="Y62" s="46">
        <f>X62*(1-Y14)</f>
        <v>1.9506373302273138E-2</v>
      </c>
      <c r="Z62" s="46">
        <f>Y62*(1-Z14)</f>
        <v>1.7936339874302265E-2</v>
      </c>
      <c r="AA62" s="46">
        <f>Z62*(1-AA14)</f>
        <v>1.6492675655345696E-2</v>
      </c>
      <c r="AB62" s="46">
        <f>AA62*(1-AB14)</f>
        <v>1.5165209411656172E-2</v>
      </c>
      <c r="AC62" s="46">
        <f>AB62*(1-AC14)</f>
        <v>1.3944588574070538E-2</v>
      </c>
      <c r="AD62" s="46">
        <f>AC62*(1-AD14)</f>
        <v>1.2822213345147788E-2</v>
      </c>
      <c r="AE62" s="46">
        <f>AD62*(1-AE14)</f>
        <v>1.1790176109906817E-2</v>
      </c>
      <c r="AF62" s="46">
        <f>AE62*(1-AF14)</f>
        <v>1.0841205723286555E-2</v>
      </c>
      <c r="AG62" s="46">
        <f>AF62*(1-AG14)</f>
        <v>9.9686162818097262E-3</v>
      </c>
      <c r="AH62" s="46">
        <f>AG62*(1-AH14)</f>
        <v>9.1662600185246322E-3</v>
      </c>
      <c r="AI62" s="46">
        <f>AH62*(1-AI14)</f>
        <v>8.4284839893496184E-3</v>
      </c>
      <c r="AJ62" s="46">
        <f>AI62*(1-AJ14)</f>
        <v>7.7500902456569291E-3</v>
      </c>
      <c r="AK62" s="46">
        <f>AJ62*(1-AK14)</f>
        <v>7.1262992124947362E-3</v>
      </c>
      <c r="AL62" s="46">
        <f>AK62*(1-AL14)</f>
        <v>6.5527160144311881E-3</v>
      </c>
      <c r="AM62" s="46">
        <f>AL62*(1-AM14)</f>
        <v>6.0252995117716117E-3</v>
      </c>
      <c r="AN62" s="46">
        <f>AM62*(1-AN14)</f>
        <v>5.5403338289957355E-3</v>
      </c>
      <c r="AO62" s="46">
        <f>AN62*(1-AO14)</f>
        <v>5.0944021748205587E-3</v>
      </c>
      <c r="AP62" s="46">
        <f>AO62*(1-AP14)</f>
        <v>4.6843627694399736E-3</v>
      </c>
      <c r="AQ62" s="46">
        <f>AP62*(1-AQ14)</f>
        <v>4.3073267093382264E-3</v>
      </c>
      <c r="AR62" s="46">
        <f>AQ62*(1-AR14)</f>
        <v>3.9606376137253209E-3</v>
      </c>
      <c r="AS62" s="46">
        <f>AR62*(1-AS14)</f>
        <v>3.6418529091947816E-3</v>
      </c>
      <c r="AT62" s="46">
        <f>AS62*(1-AT14)</f>
        <v>3.3487266207461513E-3</v>
      </c>
      <c r="AU62" s="46">
        <f>AT62*(1-AU14)</f>
        <v>3.0791935479276018E-3</v>
      </c>
      <c r="AV62" s="46">
        <f>AU62*(1-AV14)</f>
        <v>2.8313547146127899E-3</v>
      </c>
      <c r="AW62" s="46">
        <f>AV62*(1-AW14)</f>
        <v>2.6034639898993967E-3</v>
      </c>
      <c r="AX62" s="46">
        <f>AW62*(1-AX14)</f>
        <v>2.3939157858678382E-3</v>
      </c>
      <c r="AY62" s="46">
        <f>AX62*(1-AY14)</f>
        <v>2.2012337455255839E-3</v>
      </c>
      <c r="AZ62" s="46">
        <f>AY62*(1-AZ14)</f>
        <v>2.0240603412387936E-3</v>
      </c>
      <c r="BA62" s="46">
        <f>AZ62*(1-BA14)</f>
        <v>1.8611473103677648E-3</v>
      </c>
      <c r="BB62" s="46">
        <f>BA62*(1-BB14)</f>
        <v>1.7113468607211381E-3</v>
      </c>
      <c r="BC62" s="46">
        <f>BB62*(1-BC14)</f>
        <v>1.5736035838675114E-3</v>
      </c>
    </row>
    <row r="63" spans="2:55" x14ac:dyDescent="0.25">
      <c r="B63" s="2" t="s">
        <v>20</v>
      </c>
      <c r="C63" s="4">
        <f>AVERAGE(H63:S63)</f>
        <v>2.3257110953416021E-2</v>
      </c>
      <c r="D63" s="4">
        <f>AVERAGE(T63:AE63)</f>
        <v>1.0783213633191778E-2</v>
      </c>
      <c r="E63" s="4">
        <f>AVERAGE(AF63:AQ63)</f>
        <v>3.939451256857786E-3</v>
      </c>
      <c r="F63" s="4">
        <f>AVERAGE(AG63:AR63)</f>
        <v>3.6223718046559856E-3</v>
      </c>
      <c r="G63" s="62"/>
      <c r="M63" s="8">
        <f>M58/M49</f>
        <v>3.4273079049198449E-2</v>
      </c>
      <c r="N63" s="46">
        <f>M63*(1-N14)</f>
        <v>2.9752132692206192E-2</v>
      </c>
      <c r="O63" s="46">
        <f>N63*(1-O14)</f>
        <v>2.4237586455138006E-2</v>
      </c>
      <c r="P63" s="46">
        <f>O63*(1-P14)</f>
        <v>1.9539852001754513E-2</v>
      </c>
      <c r="Q63" s="46">
        <f>P63*(1-Q14)</f>
        <v>1.8099266834566335E-2</v>
      </c>
      <c r="R63" s="46">
        <f>Q63*(1-R14)</f>
        <v>1.9051163994601963E-2</v>
      </c>
      <c r="S63" s="46">
        <f>R63*(1-S14)</f>
        <v>1.7846695646446711E-2</v>
      </c>
      <c r="T63" s="46">
        <f>S63*(1-T14)</f>
        <v>1.6410246732568991E-2</v>
      </c>
      <c r="U63" s="46">
        <f>T63*(1-U14)</f>
        <v>1.5089415046835761E-2</v>
      </c>
      <c r="V63" s="46">
        <f>U63*(1-V14)</f>
        <v>1.387489476339086E-2</v>
      </c>
      <c r="W63" s="46">
        <f>V63*(1-W14)</f>
        <v>1.2758129065814309E-2</v>
      </c>
      <c r="X63" s="46">
        <f>W63*(1-X14)</f>
        <v>1.1731249860679799E-2</v>
      </c>
      <c r="Y63" s="46">
        <f>X63*(1-Y14)</f>
        <v>1.0787022343461128E-2</v>
      </c>
      <c r="Z63" s="46">
        <f>Y63*(1-Z14)</f>
        <v>9.9187940262306217E-3</v>
      </c>
      <c r="AA63" s="46">
        <f>Z63*(1-AA14)</f>
        <v>9.1204478680277992E-3</v>
      </c>
      <c r="AB63" s="46">
        <f>AA63*(1-AB14)</f>
        <v>8.3863591776816224E-3</v>
      </c>
      <c r="AC63" s="46">
        <f>AB63*(1-AC14)</f>
        <v>7.7113559854482365E-3</v>
      </c>
      <c r="AD63" s="46">
        <f>AC63*(1-AD14)</f>
        <v>7.090682604265373E-3</v>
      </c>
      <c r="AE63" s="46">
        <f>AD63*(1-AE14)</f>
        <v>6.5199661238968323E-3</v>
      </c>
      <c r="AF63" s="46">
        <f>AE63*(1-AF14)</f>
        <v>5.9951856019039096E-3</v>
      </c>
      <c r="AG63" s="46">
        <f>AF63*(1-AG14)</f>
        <v>5.512643734380953E-3</v>
      </c>
      <c r="AH63" s="46">
        <f>AG63*(1-AH14)</f>
        <v>5.068940806863223E-3</v>
      </c>
      <c r="AI63" s="46">
        <f>AH63*(1-AI14)</f>
        <v>4.6609507418800267E-3</v>
      </c>
      <c r="AJ63" s="46">
        <f>AI63*(1-AJ14)</f>
        <v>4.2857990743978653E-3</v>
      </c>
      <c r="AK63" s="46">
        <f>AJ63*(1-AK14)</f>
        <v>3.9408426999811442E-3</v>
      </c>
      <c r="AL63" s="46">
        <f>AK63*(1-AL14)</f>
        <v>3.6236512529875422E-3</v>
      </c>
      <c r="AM63" s="46">
        <f>AL63*(1-AM14)</f>
        <v>3.3319899835994498E-3</v>
      </c>
      <c r="AN63" s="46">
        <f>AM63*(1-AN14)</f>
        <v>3.0638040130528065E-3</v>
      </c>
      <c r="AO63" s="46">
        <f>AN63*(1-AO14)</f>
        <v>2.8172038561346748E-3</v>
      </c>
      <c r="AP63" s="46">
        <f>AO63*(1-AP14)</f>
        <v>2.5904521089493357E-3</v>
      </c>
      <c r="AQ63" s="46">
        <f>AP63*(1-AQ14)</f>
        <v>2.3819512081625065E-3</v>
      </c>
      <c r="AR63" s="46">
        <f>AQ63*(1-AR14)</f>
        <v>2.1902321754823035E-3</v>
      </c>
      <c r="AS63" s="46">
        <f>AR63*(1-AS14)</f>
        <v>2.0139442680769913E-3</v>
      </c>
      <c r="AT63" s="46">
        <f>AS63*(1-AT14)</f>
        <v>1.8518454620122711E-3</v>
      </c>
      <c r="AU63" s="46">
        <f>AT63*(1-AU14)</f>
        <v>1.7027937016598424E-3</v>
      </c>
      <c r="AV63" s="46">
        <f>AU63*(1-AV14)</f>
        <v>1.5657388534255645E-3</v>
      </c>
      <c r="AW63" s="46">
        <f>AV63*(1-AW14)</f>
        <v>1.4397153071077846E-3</v>
      </c>
      <c r="AX63" s="46">
        <f>AW63*(1-AX14)</f>
        <v>1.3238351727592247E-3</v>
      </c>
      <c r="AY63" s="46">
        <f>AX63*(1-AY14)</f>
        <v>1.2172820251214027E-3</v>
      </c>
      <c r="AZ63" s="46">
        <f>AY63*(1-AZ14)</f>
        <v>1.1193051515584443E-3</v>
      </c>
      <c r="BA63" s="46">
        <f>AZ63*(1-BA14)</f>
        <v>1.0292142629645111E-3</v>
      </c>
      <c r="BB63" s="46">
        <f>BA63*(1-BB14)</f>
        <v>9.463746303809196E-4</v>
      </c>
      <c r="BC63" s="46">
        <f>BB63*(1-BC14)</f>
        <v>8.7020261305833136E-4</v>
      </c>
    </row>
    <row r="64" spans="2:55" x14ac:dyDescent="0.25">
      <c r="C64" s="13"/>
      <c r="D64" s="13"/>
      <c r="E64" s="13"/>
      <c r="F64" s="13"/>
    </row>
    <row r="65" spans="2:55" s="69" customFormat="1" x14ac:dyDescent="0.25">
      <c r="B65" s="70" t="s">
        <v>78</v>
      </c>
      <c r="C65" s="67"/>
      <c r="D65" s="67"/>
      <c r="E65" s="67"/>
      <c r="F65" s="67"/>
      <c r="G65" s="68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</row>
    <row r="66" spans="2:55" x14ac:dyDescent="0.25">
      <c r="C66" s="13"/>
      <c r="D66" s="13"/>
      <c r="E66" s="13"/>
      <c r="F66" s="13"/>
    </row>
    <row r="67" spans="2:55" x14ac:dyDescent="0.25">
      <c r="B67" s="1" t="s">
        <v>76</v>
      </c>
      <c r="C67" s="13"/>
      <c r="D67" s="13"/>
      <c r="E67" s="13"/>
      <c r="F67" s="13"/>
    </row>
    <row r="68" spans="2:55" x14ac:dyDescent="0.25">
      <c r="B68" s="2" t="s">
        <v>12</v>
      </c>
      <c r="C68" s="4">
        <f>AVERAGE(H68:S68)</f>
        <v>1.4179999999999995</v>
      </c>
      <c r="D68" s="4">
        <f>AVERAGE(T68:AE68)</f>
        <v>1.4179999999999995</v>
      </c>
      <c r="E68" s="4">
        <f>AVERAGE(AF68:AQ68)</f>
        <v>1.4179999999999995</v>
      </c>
      <c r="F68" s="4">
        <f>AVERAGE(AG68:AR68)</f>
        <v>1.4179999999999995</v>
      </c>
      <c r="H68" s="74">
        <f t="shared" ref="H68" si="136">1418/1000</f>
        <v>1.4179999999999999</v>
      </c>
      <c r="I68" s="11">
        <f>H68</f>
        <v>1.4179999999999999</v>
      </c>
      <c r="J68" s="11">
        <f t="shared" ref="J68:BC68" si="137">I68</f>
        <v>1.4179999999999999</v>
      </c>
      <c r="K68" s="11">
        <f t="shared" si="137"/>
        <v>1.4179999999999999</v>
      </c>
      <c r="L68" s="11">
        <f t="shared" si="137"/>
        <v>1.4179999999999999</v>
      </c>
      <c r="M68" s="11">
        <f t="shared" si="137"/>
        <v>1.4179999999999999</v>
      </c>
      <c r="N68" s="11">
        <f t="shared" si="137"/>
        <v>1.4179999999999999</v>
      </c>
      <c r="O68" s="11">
        <f t="shared" si="137"/>
        <v>1.4179999999999999</v>
      </c>
      <c r="P68" s="11">
        <f t="shared" si="137"/>
        <v>1.4179999999999999</v>
      </c>
      <c r="Q68" s="11">
        <f t="shared" si="137"/>
        <v>1.4179999999999999</v>
      </c>
      <c r="R68" s="11">
        <f t="shared" si="137"/>
        <v>1.4179999999999999</v>
      </c>
      <c r="S68" s="11">
        <f t="shared" si="137"/>
        <v>1.4179999999999999</v>
      </c>
      <c r="T68" s="11">
        <f t="shared" si="137"/>
        <v>1.4179999999999999</v>
      </c>
      <c r="U68" s="11">
        <f t="shared" si="137"/>
        <v>1.4179999999999999</v>
      </c>
      <c r="V68" s="11">
        <f t="shared" si="137"/>
        <v>1.4179999999999999</v>
      </c>
      <c r="W68" s="11">
        <f t="shared" si="137"/>
        <v>1.4179999999999999</v>
      </c>
      <c r="X68" s="11">
        <f t="shared" si="137"/>
        <v>1.4179999999999999</v>
      </c>
      <c r="Y68" s="11">
        <f t="shared" si="137"/>
        <v>1.4179999999999999</v>
      </c>
      <c r="Z68" s="11">
        <f t="shared" si="137"/>
        <v>1.4179999999999999</v>
      </c>
      <c r="AA68" s="11">
        <f t="shared" si="137"/>
        <v>1.4179999999999999</v>
      </c>
      <c r="AB68" s="11">
        <f t="shared" si="137"/>
        <v>1.4179999999999999</v>
      </c>
      <c r="AC68" s="11">
        <f t="shared" si="137"/>
        <v>1.4179999999999999</v>
      </c>
      <c r="AD68" s="11">
        <f t="shared" si="137"/>
        <v>1.4179999999999999</v>
      </c>
      <c r="AE68" s="11">
        <f t="shared" si="137"/>
        <v>1.4179999999999999</v>
      </c>
      <c r="AF68" s="11">
        <f t="shared" si="137"/>
        <v>1.4179999999999999</v>
      </c>
      <c r="AG68" s="11">
        <f t="shared" si="137"/>
        <v>1.4179999999999999</v>
      </c>
      <c r="AH68" s="11">
        <f t="shared" si="137"/>
        <v>1.4179999999999999</v>
      </c>
      <c r="AI68" s="11">
        <f t="shared" si="137"/>
        <v>1.4179999999999999</v>
      </c>
      <c r="AJ68" s="11">
        <f t="shared" si="137"/>
        <v>1.4179999999999999</v>
      </c>
      <c r="AK68" s="11">
        <f t="shared" si="137"/>
        <v>1.4179999999999999</v>
      </c>
      <c r="AL68" s="11">
        <f t="shared" si="137"/>
        <v>1.4179999999999999</v>
      </c>
      <c r="AM68" s="11">
        <f t="shared" si="137"/>
        <v>1.4179999999999999</v>
      </c>
      <c r="AN68" s="11">
        <f t="shared" si="137"/>
        <v>1.4179999999999999</v>
      </c>
      <c r="AO68" s="11">
        <f t="shared" si="137"/>
        <v>1.4179999999999999</v>
      </c>
      <c r="AP68" s="11">
        <f t="shared" si="137"/>
        <v>1.4179999999999999</v>
      </c>
      <c r="AQ68" s="11">
        <f t="shared" si="137"/>
        <v>1.4179999999999999</v>
      </c>
      <c r="AR68" s="11">
        <f t="shared" si="137"/>
        <v>1.4179999999999999</v>
      </c>
      <c r="AS68" s="11">
        <f t="shared" si="137"/>
        <v>1.4179999999999999</v>
      </c>
      <c r="AT68" s="11">
        <f t="shared" si="137"/>
        <v>1.4179999999999999</v>
      </c>
      <c r="AU68" s="11">
        <f t="shared" si="137"/>
        <v>1.4179999999999999</v>
      </c>
      <c r="AV68" s="11">
        <f t="shared" si="137"/>
        <v>1.4179999999999999</v>
      </c>
      <c r="AW68" s="11">
        <f t="shared" si="137"/>
        <v>1.4179999999999999</v>
      </c>
      <c r="AX68" s="11">
        <f t="shared" si="137"/>
        <v>1.4179999999999999</v>
      </c>
      <c r="AY68" s="11">
        <f t="shared" si="137"/>
        <v>1.4179999999999999</v>
      </c>
      <c r="AZ68" s="11">
        <f t="shared" si="137"/>
        <v>1.4179999999999999</v>
      </c>
      <c r="BA68" s="11">
        <f t="shared" si="137"/>
        <v>1.4179999999999999</v>
      </c>
      <c r="BB68" s="11">
        <f t="shared" si="137"/>
        <v>1.4179999999999999</v>
      </c>
      <c r="BC68" s="11">
        <f t="shared" si="137"/>
        <v>1.4179999999999999</v>
      </c>
    </row>
    <row r="69" spans="2:55" x14ac:dyDescent="0.25">
      <c r="B69" s="2" t="s">
        <v>13</v>
      </c>
      <c r="C69" s="4">
        <f>AVERAGE(H69:S69)</f>
        <v>2.52</v>
      </c>
      <c r="D69" s="4">
        <f>AVERAGE(T69:AE69)</f>
        <v>2.52</v>
      </c>
      <c r="E69" s="4">
        <f>AVERAGE(AF69:AQ69)</f>
        <v>2.52</v>
      </c>
      <c r="F69" s="4">
        <f>AVERAGE(AG69:AR69)</f>
        <v>2.52</v>
      </c>
      <c r="H69" s="52">
        <f t="shared" ref="H69" si="138">2520/1000</f>
        <v>2.52</v>
      </c>
      <c r="I69">
        <f>H69</f>
        <v>2.52</v>
      </c>
      <c r="J69">
        <f t="shared" ref="J69:BC69" si="139">I69</f>
        <v>2.52</v>
      </c>
      <c r="K69">
        <f t="shared" si="139"/>
        <v>2.52</v>
      </c>
      <c r="L69">
        <f t="shared" si="139"/>
        <v>2.52</v>
      </c>
      <c r="M69">
        <f t="shared" si="139"/>
        <v>2.52</v>
      </c>
      <c r="N69">
        <f t="shared" si="139"/>
        <v>2.52</v>
      </c>
      <c r="O69">
        <f t="shared" si="139"/>
        <v>2.52</v>
      </c>
      <c r="P69">
        <f t="shared" si="139"/>
        <v>2.52</v>
      </c>
      <c r="Q69">
        <f t="shared" si="139"/>
        <v>2.52</v>
      </c>
      <c r="R69">
        <f t="shared" si="139"/>
        <v>2.52</v>
      </c>
      <c r="S69">
        <f t="shared" si="139"/>
        <v>2.52</v>
      </c>
      <c r="T69">
        <f t="shared" si="139"/>
        <v>2.52</v>
      </c>
      <c r="U69">
        <f t="shared" si="139"/>
        <v>2.52</v>
      </c>
      <c r="V69">
        <f t="shared" si="139"/>
        <v>2.52</v>
      </c>
      <c r="W69">
        <f t="shared" si="139"/>
        <v>2.52</v>
      </c>
      <c r="X69">
        <f t="shared" si="139"/>
        <v>2.52</v>
      </c>
      <c r="Y69">
        <f t="shared" si="139"/>
        <v>2.52</v>
      </c>
      <c r="Z69">
        <f t="shared" si="139"/>
        <v>2.52</v>
      </c>
      <c r="AA69">
        <f t="shared" si="139"/>
        <v>2.52</v>
      </c>
      <c r="AB69">
        <f t="shared" si="139"/>
        <v>2.52</v>
      </c>
      <c r="AC69">
        <f t="shared" si="139"/>
        <v>2.52</v>
      </c>
      <c r="AD69">
        <f t="shared" si="139"/>
        <v>2.52</v>
      </c>
      <c r="AE69">
        <f t="shared" si="139"/>
        <v>2.52</v>
      </c>
      <c r="AF69">
        <f t="shared" si="139"/>
        <v>2.52</v>
      </c>
      <c r="AG69">
        <f t="shared" si="139"/>
        <v>2.52</v>
      </c>
      <c r="AH69">
        <f t="shared" si="139"/>
        <v>2.52</v>
      </c>
      <c r="AI69">
        <f t="shared" si="139"/>
        <v>2.52</v>
      </c>
      <c r="AJ69">
        <f t="shared" si="139"/>
        <v>2.52</v>
      </c>
      <c r="AK69">
        <f t="shared" si="139"/>
        <v>2.52</v>
      </c>
      <c r="AL69">
        <f t="shared" si="139"/>
        <v>2.52</v>
      </c>
      <c r="AM69">
        <f t="shared" si="139"/>
        <v>2.52</v>
      </c>
      <c r="AN69">
        <f t="shared" si="139"/>
        <v>2.52</v>
      </c>
      <c r="AO69">
        <f t="shared" si="139"/>
        <v>2.52</v>
      </c>
      <c r="AP69">
        <f t="shared" si="139"/>
        <v>2.52</v>
      </c>
      <c r="AQ69">
        <f t="shared" si="139"/>
        <v>2.52</v>
      </c>
      <c r="AR69">
        <f t="shared" si="139"/>
        <v>2.52</v>
      </c>
      <c r="AS69">
        <f t="shared" si="139"/>
        <v>2.52</v>
      </c>
      <c r="AT69">
        <f t="shared" si="139"/>
        <v>2.52</v>
      </c>
      <c r="AU69">
        <f t="shared" si="139"/>
        <v>2.52</v>
      </c>
      <c r="AV69">
        <f t="shared" si="139"/>
        <v>2.52</v>
      </c>
      <c r="AW69">
        <f t="shared" si="139"/>
        <v>2.52</v>
      </c>
      <c r="AX69">
        <f t="shared" si="139"/>
        <v>2.52</v>
      </c>
      <c r="AY69">
        <f t="shared" si="139"/>
        <v>2.52</v>
      </c>
      <c r="AZ69">
        <f t="shared" si="139"/>
        <v>2.52</v>
      </c>
      <c r="BA69">
        <f t="shared" si="139"/>
        <v>2.52</v>
      </c>
      <c r="BB69">
        <f t="shared" si="139"/>
        <v>2.52</v>
      </c>
      <c r="BC69">
        <f t="shared" si="139"/>
        <v>2.52</v>
      </c>
    </row>
    <row r="70" spans="2:55" x14ac:dyDescent="0.25">
      <c r="C70" s="13"/>
      <c r="D70" s="13"/>
      <c r="E70" s="13"/>
      <c r="F70" s="13"/>
    </row>
    <row r="71" spans="2:55" x14ac:dyDescent="0.25">
      <c r="B71" s="1" t="s">
        <v>75</v>
      </c>
    </row>
    <row r="72" spans="2:55" x14ac:dyDescent="0.25">
      <c r="B72" s="2" t="s">
        <v>77</v>
      </c>
      <c r="C72" s="4">
        <f>AVERAGE(H72:S72)</f>
        <v>1.9999999999999997E-2</v>
      </c>
      <c r="D72" s="4">
        <f>AVERAGE(T72:AE72)</f>
        <v>1.9999999999999997E-2</v>
      </c>
      <c r="E72" s="4">
        <f>AVERAGE(AF72:AQ72)</f>
        <v>1.9999999999999997E-2</v>
      </c>
      <c r="F72" s="4">
        <f>AVERAGE(AG72:AR72)</f>
        <v>1.9999999999999997E-2</v>
      </c>
      <c r="H72" s="74">
        <v>0.02</v>
      </c>
      <c r="I72" s="11">
        <f>H72</f>
        <v>0.02</v>
      </c>
      <c r="J72" s="11">
        <f t="shared" ref="J72:BC72" si="140">I72</f>
        <v>0.02</v>
      </c>
      <c r="K72" s="11">
        <f t="shared" si="140"/>
        <v>0.02</v>
      </c>
      <c r="L72" s="11">
        <f t="shared" si="140"/>
        <v>0.02</v>
      </c>
      <c r="M72" s="11">
        <f t="shared" si="140"/>
        <v>0.02</v>
      </c>
      <c r="N72" s="11">
        <f t="shared" si="140"/>
        <v>0.02</v>
      </c>
      <c r="O72" s="11">
        <f t="shared" si="140"/>
        <v>0.02</v>
      </c>
      <c r="P72" s="11">
        <f t="shared" si="140"/>
        <v>0.02</v>
      </c>
      <c r="Q72" s="11">
        <f t="shared" si="140"/>
        <v>0.02</v>
      </c>
      <c r="R72" s="11">
        <f t="shared" si="140"/>
        <v>0.02</v>
      </c>
      <c r="S72" s="11">
        <f t="shared" si="140"/>
        <v>0.02</v>
      </c>
      <c r="T72" s="11">
        <f t="shared" si="140"/>
        <v>0.02</v>
      </c>
      <c r="U72" s="11">
        <f t="shared" si="140"/>
        <v>0.02</v>
      </c>
      <c r="V72" s="11">
        <f t="shared" si="140"/>
        <v>0.02</v>
      </c>
      <c r="W72" s="11">
        <f t="shared" si="140"/>
        <v>0.02</v>
      </c>
      <c r="X72" s="11">
        <f t="shared" si="140"/>
        <v>0.02</v>
      </c>
      <c r="Y72" s="11">
        <f t="shared" si="140"/>
        <v>0.02</v>
      </c>
      <c r="Z72" s="11">
        <f t="shared" si="140"/>
        <v>0.02</v>
      </c>
      <c r="AA72" s="11">
        <f t="shared" si="140"/>
        <v>0.02</v>
      </c>
      <c r="AB72" s="11">
        <f t="shared" si="140"/>
        <v>0.02</v>
      </c>
      <c r="AC72" s="11">
        <f t="shared" si="140"/>
        <v>0.02</v>
      </c>
      <c r="AD72" s="11">
        <f t="shared" si="140"/>
        <v>0.02</v>
      </c>
      <c r="AE72" s="11">
        <f t="shared" si="140"/>
        <v>0.02</v>
      </c>
      <c r="AF72" s="11">
        <f t="shared" si="140"/>
        <v>0.02</v>
      </c>
      <c r="AG72" s="11">
        <f t="shared" si="140"/>
        <v>0.02</v>
      </c>
      <c r="AH72" s="11">
        <f t="shared" si="140"/>
        <v>0.02</v>
      </c>
      <c r="AI72" s="11">
        <f t="shared" si="140"/>
        <v>0.02</v>
      </c>
      <c r="AJ72" s="11">
        <f t="shared" si="140"/>
        <v>0.02</v>
      </c>
      <c r="AK72" s="11">
        <f t="shared" si="140"/>
        <v>0.02</v>
      </c>
      <c r="AL72" s="11">
        <f t="shared" si="140"/>
        <v>0.02</v>
      </c>
      <c r="AM72" s="11">
        <f t="shared" si="140"/>
        <v>0.02</v>
      </c>
      <c r="AN72" s="11">
        <f t="shared" si="140"/>
        <v>0.02</v>
      </c>
      <c r="AO72" s="11">
        <f t="shared" si="140"/>
        <v>0.02</v>
      </c>
      <c r="AP72" s="11">
        <f t="shared" si="140"/>
        <v>0.02</v>
      </c>
      <c r="AQ72" s="11">
        <f t="shared" si="140"/>
        <v>0.02</v>
      </c>
      <c r="AR72" s="11">
        <f t="shared" si="140"/>
        <v>0.02</v>
      </c>
      <c r="AS72" s="11">
        <f t="shared" si="140"/>
        <v>0.02</v>
      </c>
      <c r="AT72" s="11">
        <f t="shared" si="140"/>
        <v>0.02</v>
      </c>
      <c r="AU72" s="11">
        <f t="shared" si="140"/>
        <v>0.02</v>
      </c>
      <c r="AV72" s="11">
        <f t="shared" si="140"/>
        <v>0.02</v>
      </c>
      <c r="AW72" s="11">
        <f t="shared" si="140"/>
        <v>0.02</v>
      </c>
      <c r="AX72" s="11">
        <f t="shared" si="140"/>
        <v>0.02</v>
      </c>
      <c r="AY72" s="11">
        <f t="shared" si="140"/>
        <v>0.02</v>
      </c>
      <c r="AZ72" s="11">
        <f t="shared" si="140"/>
        <v>0.02</v>
      </c>
      <c r="BA72" s="11">
        <f t="shared" si="140"/>
        <v>0.02</v>
      </c>
      <c r="BB72" s="11">
        <f t="shared" si="140"/>
        <v>0.02</v>
      </c>
      <c r="BC72" s="11">
        <f t="shared" si="140"/>
        <v>0.02</v>
      </c>
    </row>
    <row r="74" spans="2:55" x14ac:dyDescent="0.25">
      <c r="B74" s="1" t="s">
        <v>26</v>
      </c>
    </row>
    <row r="75" spans="2:55" x14ac:dyDescent="0.25">
      <c r="B75" s="2" t="s">
        <v>12</v>
      </c>
      <c r="C75" s="5">
        <f>SUM(H75:S75)</f>
        <v>248.43359999999998</v>
      </c>
      <c r="D75" s="5">
        <f>SUM(T75:AE75)</f>
        <v>249.11423999999997</v>
      </c>
      <c r="E75" s="5">
        <f>SUM(AF75:AQ75)</f>
        <v>248.43359999999998</v>
      </c>
      <c r="F75" s="5">
        <f>SUM(AG75:AR75)</f>
        <v>248.43359999999998</v>
      </c>
      <c r="G75" s="62"/>
      <c r="H75" s="5">
        <f>H48*H68*H72*24*H6/1000</f>
        <v>21.09984</v>
      </c>
      <c r="I75" s="5">
        <f>I48*I68*I72*24*I6/1000</f>
        <v>19.057919999999999</v>
      </c>
      <c r="J75" s="5">
        <f>J48*J68*J72*24*J6/1000</f>
        <v>21.09984</v>
      </c>
      <c r="K75" s="5">
        <f>K48*K68*K72*24*K6/1000</f>
        <v>20.4192</v>
      </c>
      <c r="L75" s="5">
        <f>L48*L68*L72*24*L6/1000</f>
        <v>21.09984</v>
      </c>
      <c r="M75" s="5">
        <f>M48*M68*M72*24*M6/1000</f>
        <v>20.4192</v>
      </c>
      <c r="N75" s="5">
        <f>N48*N68*N72*24*N6/1000</f>
        <v>21.09984</v>
      </c>
      <c r="O75" s="5">
        <f>O48*O68*O72*24*O6/1000</f>
        <v>21.09984</v>
      </c>
      <c r="P75" s="5">
        <f>P48*P68*P72*24*P6/1000</f>
        <v>20.4192</v>
      </c>
      <c r="Q75" s="5">
        <f>Q48*Q68*Q72*24*Q6/1000</f>
        <v>21.09984</v>
      </c>
      <c r="R75" s="5">
        <f>R48*R68*R72*24*R6/1000</f>
        <v>20.4192</v>
      </c>
      <c r="S75" s="5">
        <f>S48*S68*S72*24*S6/1000</f>
        <v>21.09984</v>
      </c>
      <c r="T75" s="5">
        <f>T48*T68*T72*24*T6/1000</f>
        <v>21.09984</v>
      </c>
      <c r="U75" s="5">
        <f>U48*U68*U72*24*U6/1000</f>
        <v>19.73856</v>
      </c>
      <c r="V75" s="5">
        <f>V48*V68*V72*24*V6/1000</f>
        <v>21.09984</v>
      </c>
      <c r="W75" s="5">
        <f>W48*W68*W72*24*W6/1000</f>
        <v>20.4192</v>
      </c>
      <c r="X75" s="5">
        <f>X48*X68*X72*24*X6/1000</f>
        <v>21.09984</v>
      </c>
      <c r="Y75" s="5">
        <f>Y48*Y68*Y72*24*Y6/1000</f>
        <v>20.4192</v>
      </c>
      <c r="Z75" s="5">
        <f>Z48*Z68*Z72*24*Z6/1000</f>
        <v>21.09984</v>
      </c>
      <c r="AA75" s="5">
        <f>AA48*AA68*AA72*24*AA6/1000</f>
        <v>21.09984</v>
      </c>
      <c r="AB75" s="5">
        <f>AB48*AB68*AB72*24*AB6/1000</f>
        <v>20.4192</v>
      </c>
      <c r="AC75" s="5">
        <f>AC48*AC68*AC72*24*AC6/1000</f>
        <v>21.09984</v>
      </c>
      <c r="AD75" s="5">
        <f>AD48*AD68*AD72*24*AD6/1000</f>
        <v>20.4192</v>
      </c>
      <c r="AE75" s="5">
        <f>AE48*AE68*AE72*24*AE6/1000</f>
        <v>21.09984</v>
      </c>
      <c r="AF75" s="5">
        <f>AF48*AF68*AF72*24*AF6/1000</f>
        <v>21.09984</v>
      </c>
      <c r="AG75" s="5">
        <f>AG48*AG68*AG72*24*AG6/1000</f>
        <v>19.057919999999999</v>
      </c>
      <c r="AH75" s="5">
        <f>AH48*AH68*AH72*24*AH6/1000</f>
        <v>21.09984</v>
      </c>
      <c r="AI75" s="5">
        <f>AI48*AI68*AI72*24*AI6/1000</f>
        <v>20.4192</v>
      </c>
      <c r="AJ75" s="5">
        <f>AJ48*AJ68*AJ72*24*AJ6/1000</f>
        <v>21.09984</v>
      </c>
      <c r="AK75" s="5">
        <f>AK48*AK68*AK72*24*AK6/1000</f>
        <v>20.4192</v>
      </c>
      <c r="AL75" s="5">
        <f>AL48*AL68*AL72*24*AL6/1000</f>
        <v>21.09984</v>
      </c>
      <c r="AM75" s="5">
        <f>AM48*AM68*AM72*24*AM6/1000</f>
        <v>21.09984</v>
      </c>
      <c r="AN75" s="5">
        <f>AN48*AN68*AN72*24*AN6/1000</f>
        <v>20.4192</v>
      </c>
      <c r="AO75" s="5">
        <f>AO48*AO68*AO72*24*AO6/1000</f>
        <v>21.09984</v>
      </c>
      <c r="AP75" s="5">
        <f>AP48*AP68*AP72*24*AP6/1000</f>
        <v>20.4192</v>
      </c>
      <c r="AQ75" s="5">
        <f>AQ48*AQ68*AQ72*24*AQ6/1000</f>
        <v>21.09984</v>
      </c>
      <c r="AR75" s="5">
        <f>AR48*AR68*AR72*24*AR6/1000</f>
        <v>21.09984</v>
      </c>
      <c r="AS75" s="5">
        <f>AS48*AS68*AS72*24*AS6/1000</f>
        <v>19.057919999999999</v>
      </c>
      <c r="AT75" s="5">
        <f>AT48*AT68*AT72*24*AT6/1000</f>
        <v>21.09984</v>
      </c>
      <c r="AU75" s="5">
        <f>AU48*AU68*AU72*24*AU6/1000</f>
        <v>20.4192</v>
      </c>
      <c r="AV75" s="5">
        <f>AV48*AV68*AV72*24*AV6/1000</f>
        <v>21.09984</v>
      </c>
      <c r="AW75" s="5">
        <f>AW48*AW68*AW72*24*AW6/1000</f>
        <v>20.4192</v>
      </c>
      <c r="AX75" s="5">
        <f>AX48*AX68*AX72*24*AX6/1000</f>
        <v>21.09984</v>
      </c>
      <c r="AY75" s="5">
        <f>AY48*AY68*AY72*24*AY6/1000</f>
        <v>21.09984</v>
      </c>
      <c r="AZ75" s="5">
        <f>AZ48*AZ68*AZ72*24*AZ6/1000</f>
        <v>20.4192</v>
      </c>
      <c r="BA75" s="5">
        <f>BA48*BA68*BA72*24*BA6/1000</f>
        <v>21.09984</v>
      </c>
      <c r="BB75" s="5">
        <f>BB48*BB68*BB72*24*BB6/1000</f>
        <v>20.4192</v>
      </c>
      <c r="BC75" s="5">
        <f>BC48*BC68*BC72*24*BC6/1000</f>
        <v>21.09984</v>
      </c>
    </row>
    <row r="76" spans="2:55" x14ac:dyDescent="0.25">
      <c r="B76" s="2" t="s">
        <v>13</v>
      </c>
      <c r="C76" s="5">
        <f>SUM(H76:S76)</f>
        <v>1066.6869696000001</v>
      </c>
      <c r="D76" s="5">
        <f>SUM(T76:AE76)</f>
        <v>7045.3079424000007</v>
      </c>
      <c r="E76" s="5">
        <f>SUM(AF76:AQ76)</f>
        <v>10091.432736000002</v>
      </c>
      <c r="F76" s="5">
        <f>SUM(AG76:AR76)</f>
        <v>10278.920736</v>
      </c>
      <c r="G76" s="62"/>
      <c r="H76" s="5">
        <f>H49*H69*H72*24*H6/1000</f>
        <v>0</v>
      </c>
      <c r="I76" s="5">
        <f>I49*I69*I72*24*I6/1000</f>
        <v>0</v>
      </c>
      <c r="J76" s="5">
        <f>J49*J69*J72*24*J6/1000</f>
        <v>0</v>
      </c>
      <c r="K76" s="5">
        <f>K49*K69*K72*24*K6/1000</f>
        <v>0</v>
      </c>
      <c r="L76" s="5">
        <f>L49*L69*L72*24*L6/1000</f>
        <v>38.435040000000008</v>
      </c>
      <c r="M76" s="5">
        <f>M49*M69*M72*24*M6/1000</f>
        <v>65.644992000000002</v>
      </c>
      <c r="N76" s="5">
        <f>N49*N69*N72*24*N6/1000</f>
        <v>67.833158400000002</v>
      </c>
      <c r="O76" s="5">
        <f>O49*O69*O72*24*O6/1000</f>
        <v>114.70515840000002</v>
      </c>
      <c r="P76" s="5">
        <f>P49*P69*P72*24*P6/1000</f>
        <v>156.364992</v>
      </c>
      <c r="Q76" s="5">
        <f>Q49*Q69*Q72*24*Q6/1000</f>
        <v>180.32595839999999</v>
      </c>
      <c r="R76" s="5">
        <f>R49*R69*R72*24*R6/1000</f>
        <v>218.05459200000004</v>
      </c>
      <c r="S76" s="5">
        <f>S49*S69*S72*24*S6/1000</f>
        <v>225.32307840000001</v>
      </c>
      <c r="T76" s="5">
        <f>T49*T69*T72*24*T6/1000</f>
        <v>360.31443840000003</v>
      </c>
      <c r="U76" s="5">
        <f>U49*U69*U72*24*U6/1000</f>
        <v>463.35058559999999</v>
      </c>
      <c r="V76" s="5">
        <f>V49*V69*V72*24*V6/1000</f>
        <v>630.29715840000006</v>
      </c>
      <c r="W76" s="5">
        <f>W49*W69*W72*24*W6/1000</f>
        <v>609.96499200000005</v>
      </c>
      <c r="X76" s="5">
        <f>X49*X69*X72*24*X6/1000</f>
        <v>630.29715840000006</v>
      </c>
      <c r="Y76" s="5">
        <f>Y49*Y69*Y72*24*Y6/1000</f>
        <v>609.96499200000005</v>
      </c>
      <c r="Z76" s="5">
        <f>Z49*Z69*Z72*24*Z6/1000</f>
        <v>630.29715840000006</v>
      </c>
      <c r="AA76" s="5">
        <f>AA49*AA69*AA72*24*AA6/1000</f>
        <v>630.29715840000006</v>
      </c>
      <c r="AB76" s="5">
        <f>AB49*AB69*AB72*24*AB6/1000</f>
        <v>609.96499200000005</v>
      </c>
      <c r="AC76" s="5">
        <f>AC49*AC69*AC72*24*AC6/1000</f>
        <v>630.29715840000006</v>
      </c>
      <c r="AD76" s="5">
        <f>AD49*AD69*AD72*24*AD6/1000</f>
        <v>609.96499200000005</v>
      </c>
      <c r="AE76" s="5">
        <f>AE49*AE69*AE72*24*AE6/1000</f>
        <v>630.29715840000006</v>
      </c>
      <c r="AF76" s="5">
        <f>AF49*AF69*AF72*24*AF6/1000</f>
        <v>817.78515840000011</v>
      </c>
      <c r="AG76" s="5">
        <f>AG49*AG69*AG72*24*AG6/1000</f>
        <v>738.64465920000009</v>
      </c>
      <c r="AH76" s="5">
        <f>AH49*AH69*AH72*24*AH6/1000</f>
        <v>817.78515840000011</v>
      </c>
      <c r="AI76" s="5">
        <f>AI49*AI69*AI72*24*AI6/1000</f>
        <v>791.40499200000011</v>
      </c>
      <c r="AJ76" s="5">
        <f>AJ49*AJ69*AJ72*24*AJ6/1000</f>
        <v>817.78515840000011</v>
      </c>
      <c r="AK76" s="5">
        <f>AK49*AK69*AK72*24*AK6/1000</f>
        <v>791.40499200000011</v>
      </c>
      <c r="AL76" s="5">
        <f>AL49*AL69*AL72*24*AL6/1000</f>
        <v>817.78515840000011</v>
      </c>
      <c r="AM76" s="5">
        <f>AM49*AM69*AM72*24*AM6/1000</f>
        <v>911.52915840000003</v>
      </c>
      <c r="AN76" s="5">
        <f>AN49*AN69*AN72*24*AN6/1000</f>
        <v>882.12499200000013</v>
      </c>
      <c r="AO76" s="5">
        <f>AO49*AO69*AO72*24*AO6/1000</f>
        <v>911.52915840000003</v>
      </c>
      <c r="AP76" s="5">
        <f>AP49*AP69*AP72*24*AP6/1000</f>
        <v>882.12499200000013</v>
      </c>
      <c r="AQ76" s="5">
        <f>AQ49*AQ69*AQ72*24*AQ6/1000</f>
        <v>911.52915840000003</v>
      </c>
      <c r="AR76" s="5">
        <f>AR49*AR69*AR72*24*AR6/1000</f>
        <v>1005.2731584000001</v>
      </c>
      <c r="AS76" s="5">
        <f>AS49*AS69*AS72*24*AS6/1000</f>
        <v>907.98865920000014</v>
      </c>
      <c r="AT76" s="5">
        <f>AT49*AT69*AT72*24*AT6/1000</f>
        <v>1005.2731584000001</v>
      </c>
      <c r="AU76" s="5">
        <f>AU49*AU69*AU72*24*AU6/1000</f>
        <v>972.84499200000005</v>
      </c>
      <c r="AV76" s="5">
        <f>AV49*AV69*AV72*24*AV6/1000</f>
        <v>1005.2731584000001</v>
      </c>
      <c r="AW76" s="5">
        <f>AW49*AW69*AW72*24*AW6/1000</f>
        <v>1063.5649920000001</v>
      </c>
      <c r="AX76" s="5">
        <f>AX49*AX69*AX72*24*AX6/1000</f>
        <v>1099.0171584</v>
      </c>
      <c r="AY76" s="5">
        <f>AY49*AY69*AY72*24*AY6/1000</f>
        <v>1099.0171584</v>
      </c>
      <c r="AZ76" s="5">
        <f>AZ49*AZ69*AZ72*24*AZ6/1000</f>
        <v>1063.5649920000001</v>
      </c>
      <c r="BA76" s="5">
        <f>BA49*BA69*BA72*24*BA6/1000</f>
        <v>1099.0171584</v>
      </c>
      <c r="BB76" s="5">
        <f>BB49*BB69*BB72*24*BB6/1000</f>
        <v>1063.5649920000001</v>
      </c>
      <c r="BC76" s="5">
        <f>BC49*BC69*BC72*24*BC6/1000</f>
        <v>1099.0171584</v>
      </c>
    </row>
    <row r="77" spans="2:55" s="5" customFormat="1" x14ac:dyDescent="0.25">
      <c r="B77" s="25" t="s">
        <v>22</v>
      </c>
      <c r="C77" s="25">
        <f>SUM(C75:C76)</f>
        <v>1315.1205696000002</v>
      </c>
      <c r="D77" s="25">
        <f>SUM(D75:D76)</f>
        <v>7294.4221824000006</v>
      </c>
      <c r="E77" s="25">
        <f>SUM(E75:E76)</f>
        <v>10339.866336000003</v>
      </c>
      <c r="F77" s="25">
        <f>SUM(F75:F76)</f>
        <v>10527.354336</v>
      </c>
      <c r="G77" s="76"/>
      <c r="H77" s="25">
        <f t="shared" ref="H77:AQ77" si="141">SUM(H75:H76)</f>
        <v>21.09984</v>
      </c>
      <c r="I77" s="25">
        <f t="shared" si="141"/>
        <v>19.057919999999999</v>
      </c>
      <c r="J77" s="25">
        <f t="shared" si="141"/>
        <v>21.09984</v>
      </c>
      <c r="K77" s="25">
        <f t="shared" si="141"/>
        <v>20.4192</v>
      </c>
      <c r="L77" s="25">
        <f t="shared" si="141"/>
        <v>59.534880000000008</v>
      </c>
      <c r="M77" s="25">
        <f t="shared" si="141"/>
        <v>86.064192000000006</v>
      </c>
      <c r="N77" s="50">
        <f t="shared" si="141"/>
        <v>88.932998400000002</v>
      </c>
      <c r="O77" s="50">
        <f t="shared" si="141"/>
        <v>135.80499840000002</v>
      </c>
      <c r="P77" s="50">
        <f t="shared" si="141"/>
        <v>176.78419199999999</v>
      </c>
      <c r="Q77" s="50">
        <f t="shared" si="141"/>
        <v>201.42579839999999</v>
      </c>
      <c r="R77" s="50">
        <f t="shared" si="141"/>
        <v>238.47379200000003</v>
      </c>
      <c r="S77" s="50">
        <f t="shared" si="141"/>
        <v>246.42291840000001</v>
      </c>
      <c r="T77" s="50">
        <f t="shared" si="141"/>
        <v>381.41427840000006</v>
      </c>
      <c r="U77" s="50">
        <f t="shared" si="141"/>
        <v>483.08914559999999</v>
      </c>
      <c r="V77" s="50">
        <f t="shared" si="141"/>
        <v>651.39699840000003</v>
      </c>
      <c r="W77" s="50">
        <f t="shared" si="141"/>
        <v>630.3841920000001</v>
      </c>
      <c r="X77" s="50">
        <f t="shared" si="141"/>
        <v>651.39699840000003</v>
      </c>
      <c r="Y77" s="50">
        <f t="shared" si="141"/>
        <v>630.3841920000001</v>
      </c>
      <c r="Z77" s="50">
        <f t="shared" si="141"/>
        <v>651.39699840000003</v>
      </c>
      <c r="AA77" s="50">
        <f t="shared" si="141"/>
        <v>651.39699840000003</v>
      </c>
      <c r="AB77" s="50">
        <f t="shared" si="141"/>
        <v>630.3841920000001</v>
      </c>
      <c r="AC77" s="50">
        <f t="shared" si="141"/>
        <v>651.39699840000003</v>
      </c>
      <c r="AD77" s="50">
        <f t="shared" si="141"/>
        <v>630.3841920000001</v>
      </c>
      <c r="AE77" s="50">
        <f t="shared" si="141"/>
        <v>651.39699840000003</v>
      </c>
      <c r="AF77" s="50">
        <f t="shared" si="141"/>
        <v>838.88499840000009</v>
      </c>
      <c r="AG77" s="50">
        <f t="shared" si="141"/>
        <v>757.70257920000006</v>
      </c>
      <c r="AH77" s="50">
        <f t="shared" si="141"/>
        <v>838.88499840000009</v>
      </c>
      <c r="AI77" s="50">
        <f t="shared" si="141"/>
        <v>811.82419200000015</v>
      </c>
      <c r="AJ77" s="50">
        <f t="shared" si="141"/>
        <v>838.88499840000009</v>
      </c>
      <c r="AK77" s="50">
        <f t="shared" si="141"/>
        <v>811.82419200000015</v>
      </c>
      <c r="AL77" s="50">
        <f t="shared" si="141"/>
        <v>838.88499840000009</v>
      </c>
      <c r="AM77" s="50">
        <f t="shared" si="141"/>
        <v>932.6289984</v>
      </c>
      <c r="AN77" s="50">
        <f t="shared" si="141"/>
        <v>902.54419200000018</v>
      </c>
      <c r="AO77" s="50">
        <f t="shared" si="141"/>
        <v>932.6289984</v>
      </c>
      <c r="AP77" s="50">
        <f t="shared" si="141"/>
        <v>902.54419200000018</v>
      </c>
      <c r="AQ77" s="50">
        <f t="shared" si="141"/>
        <v>932.6289984</v>
      </c>
      <c r="AR77" s="50">
        <f t="shared" ref="AR77:BC77" si="142">SUM(AR75:AR76)</f>
        <v>1026.3729984000001</v>
      </c>
      <c r="AS77" s="50">
        <f t="shared" si="142"/>
        <v>927.04657920000011</v>
      </c>
      <c r="AT77" s="50">
        <f t="shared" si="142"/>
        <v>1026.3729984000001</v>
      </c>
      <c r="AU77" s="50">
        <f t="shared" si="142"/>
        <v>993.26419200000009</v>
      </c>
      <c r="AV77" s="50">
        <f t="shared" si="142"/>
        <v>1026.3729984000001</v>
      </c>
      <c r="AW77" s="50">
        <f t="shared" si="142"/>
        <v>1083.9841920000001</v>
      </c>
      <c r="AX77" s="50">
        <f t="shared" si="142"/>
        <v>1120.1169984000001</v>
      </c>
      <c r="AY77" s="50">
        <f t="shared" si="142"/>
        <v>1120.1169984000001</v>
      </c>
      <c r="AZ77" s="50">
        <f t="shared" si="142"/>
        <v>1083.9841920000001</v>
      </c>
      <c r="BA77" s="50">
        <f t="shared" si="142"/>
        <v>1120.1169984000001</v>
      </c>
      <c r="BB77" s="50">
        <f t="shared" si="142"/>
        <v>1083.9841920000001</v>
      </c>
      <c r="BC77" s="50">
        <f t="shared" si="142"/>
        <v>1120.1169984000001</v>
      </c>
    </row>
    <row r="78" spans="2:55" s="5" customFormat="1" x14ac:dyDescent="0.25">
      <c r="B78" s="83"/>
      <c r="C78" s="83"/>
      <c r="D78" s="83"/>
      <c r="E78" s="83"/>
      <c r="F78" s="83"/>
      <c r="G78" s="76"/>
      <c r="H78" s="83"/>
      <c r="I78" s="83"/>
      <c r="J78" s="83"/>
      <c r="K78" s="83"/>
      <c r="L78" s="83"/>
      <c r="M78" s="83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4"/>
      <c r="AM78" s="84"/>
      <c r="AN78" s="84"/>
      <c r="AO78" s="84"/>
      <c r="AP78" s="84"/>
      <c r="AQ78" s="84"/>
      <c r="AR78" s="84"/>
      <c r="AS78" s="84"/>
      <c r="AT78" s="84"/>
      <c r="AU78" s="84"/>
      <c r="AV78" s="84"/>
      <c r="AW78" s="84"/>
      <c r="AX78" s="84"/>
      <c r="AY78" s="84"/>
      <c r="AZ78" s="84"/>
      <c r="BA78" s="84"/>
      <c r="BB78" s="84"/>
      <c r="BC78" s="84"/>
    </row>
    <row r="79" spans="2:55" s="69" customFormat="1" x14ac:dyDescent="0.25">
      <c r="B79" s="70" t="s">
        <v>82</v>
      </c>
      <c r="C79" s="67"/>
      <c r="D79" s="67"/>
      <c r="E79" s="67"/>
      <c r="F79" s="67"/>
      <c r="G79" s="68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</row>
    <row r="80" spans="2:55" x14ac:dyDescent="0.25">
      <c r="C80" s="13"/>
      <c r="D80" s="13"/>
      <c r="E80" s="13"/>
      <c r="F80" s="13"/>
    </row>
    <row r="81" spans="2:55" s="5" customFormat="1" x14ac:dyDescent="0.25">
      <c r="B81" s="5" t="s">
        <v>86</v>
      </c>
      <c r="C81" s="5">
        <f>AVERAGE(H81:S81)</f>
        <v>20</v>
      </c>
      <c r="D81" s="5">
        <f>AVERAGE(T81:AE81)</f>
        <v>20</v>
      </c>
      <c r="E81" s="5">
        <f>AVERAGE(AF81:AQ81)</f>
        <v>20</v>
      </c>
      <c r="F81" s="5">
        <f>AVERAGE(AG81:AR81)</f>
        <v>20</v>
      </c>
      <c r="G81" s="65"/>
      <c r="H81" s="73">
        <f>20</f>
        <v>20</v>
      </c>
      <c r="I81" s="5">
        <f>H81</f>
        <v>20</v>
      </c>
      <c r="J81" s="5">
        <f t="shared" ref="J81:BC81" si="143">I81</f>
        <v>20</v>
      </c>
      <c r="K81" s="5">
        <f t="shared" si="143"/>
        <v>20</v>
      </c>
      <c r="L81" s="5">
        <f t="shared" si="143"/>
        <v>20</v>
      </c>
      <c r="M81" s="5">
        <f t="shared" si="143"/>
        <v>20</v>
      </c>
      <c r="N81" s="5">
        <f t="shared" si="143"/>
        <v>20</v>
      </c>
      <c r="O81" s="5">
        <f t="shared" si="143"/>
        <v>20</v>
      </c>
      <c r="P81" s="5">
        <f t="shared" si="143"/>
        <v>20</v>
      </c>
      <c r="Q81" s="5">
        <f t="shared" si="143"/>
        <v>20</v>
      </c>
      <c r="R81" s="5">
        <f t="shared" si="143"/>
        <v>20</v>
      </c>
      <c r="S81" s="5">
        <f t="shared" si="143"/>
        <v>20</v>
      </c>
      <c r="T81" s="5">
        <f t="shared" si="143"/>
        <v>20</v>
      </c>
      <c r="U81" s="5">
        <f t="shared" si="143"/>
        <v>20</v>
      </c>
      <c r="V81" s="5">
        <f t="shared" si="143"/>
        <v>20</v>
      </c>
      <c r="W81" s="5">
        <f t="shared" si="143"/>
        <v>20</v>
      </c>
      <c r="X81" s="5">
        <f t="shared" si="143"/>
        <v>20</v>
      </c>
      <c r="Y81" s="5">
        <f t="shared" si="143"/>
        <v>20</v>
      </c>
      <c r="Z81" s="5">
        <f t="shared" si="143"/>
        <v>20</v>
      </c>
      <c r="AA81" s="5">
        <f t="shared" si="143"/>
        <v>20</v>
      </c>
      <c r="AB81" s="5">
        <f t="shared" si="143"/>
        <v>20</v>
      </c>
      <c r="AC81" s="5">
        <f t="shared" si="143"/>
        <v>20</v>
      </c>
      <c r="AD81" s="5">
        <f t="shared" si="143"/>
        <v>20</v>
      </c>
      <c r="AE81" s="5">
        <f t="shared" si="143"/>
        <v>20</v>
      </c>
      <c r="AF81" s="5">
        <f t="shared" si="143"/>
        <v>20</v>
      </c>
      <c r="AG81" s="5">
        <f t="shared" si="143"/>
        <v>20</v>
      </c>
      <c r="AH81" s="5">
        <f t="shared" si="143"/>
        <v>20</v>
      </c>
      <c r="AI81" s="5">
        <f t="shared" si="143"/>
        <v>20</v>
      </c>
      <c r="AJ81" s="5">
        <f t="shared" si="143"/>
        <v>20</v>
      </c>
      <c r="AK81" s="5">
        <f t="shared" si="143"/>
        <v>20</v>
      </c>
      <c r="AL81" s="5">
        <f t="shared" si="143"/>
        <v>20</v>
      </c>
      <c r="AM81" s="5">
        <f t="shared" si="143"/>
        <v>20</v>
      </c>
      <c r="AN81" s="5">
        <f t="shared" si="143"/>
        <v>20</v>
      </c>
      <c r="AO81" s="5">
        <f t="shared" si="143"/>
        <v>20</v>
      </c>
      <c r="AP81" s="5">
        <f t="shared" si="143"/>
        <v>20</v>
      </c>
      <c r="AQ81" s="5">
        <f t="shared" si="143"/>
        <v>20</v>
      </c>
      <c r="AR81" s="5">
        <f t="shared" si="143"/>
        <v>20</v>
      </c>
      <c r="AS81" s="5">
        <f t="shared" si="143"/>
        <v>20</v>
      </c>
      <c r="AT81" s="5">
        <f t="shared" si="143"/>
        <v>20</v>
      </c>
      <c r="AU81" s="5">
        <f t="shared" si="143"/>
        <v>20</v>
      </c>
      <c r="AV81" s="5">
        <f t="shared" si="143"/>
        <v>20</v>
      </c>
      <c r="AW81" s="5">
        <f t="shared" si="143"/>
        <v>20</v>
      </c>
      <c r="AX81" s="5">
        <f t="shared" si="143"/>
        <v>20</v>
      </c>
      <c r="AY81" s="5">
        <f t="shared" si="143"/>
        <v>20</v>
      </c>
      <c r="AZ81" s="5">
        <f t="shared" si="143"/>
        <v>20</v>
      </c>
      <c r="BA81" s="5">
        <f t="shared" si="143"/>
        <v>20</v>
      </c>
      <c r="BB81" s="5">
        <f t="shared" si="143"/>
        <v>20</v>
      </c>
      <c r="BC81" s="5">
        <f t="shared" si="143"/>
        <v>20</v>
      </c>
    </row>
    <row r="82" spans="2:55" x14ac:dyDescent="0.25">
      <c r="C82" s="13"/>
      <c r="D82" s="13"/>
      <c r="E82" s="13"/>
      <c r="F82" s="13"/>
    </row>
    <row r="83" spans="2:55" x14ac:dyDescent="0.25">
      <c r="B83" s="1" t="s">
        <v>85</v>
      </c>
      <c r="C83" s="13"/>
      <c r="D83" s="13"/>
      <c r="E83" s="13"/>
      <c r="F83" s="13"/>
    </row>
    <row r="84" spans="2:55" x14ac:dyDescent="0.25">
      <c r="B84" s="2" t="s">
        <v>12</v>
      </c>
      <c r="C84" s="5">
        <f>AVERAGE(H84:S84)</f>
        <v>20</v>
      </c>
      <c r="D84" s="5">
        <f>AVERAGE(T84:AE84)</f>
        <v>20</v>
      </c>
      <c r="E84" s="5">
        <f>AVERAGE(AF84:AQ84)</f>
        <v>20</v>
      </c>
      <c r="F84" s="5">
        <f>AVERAGE(AG84:AR84)</f>
        <v>20</v>
      </c>
      <c r="H84" s="85">
        <f>H81*H48/1000</f>
        <v>20</v>
      </c>
      <c r="I84" s="85">
        <f>I81*I48/1000</f>
        <v>20</v>
      </c>
      <c r="J84" s="85">
        <f>J81*J48/1000</f>
        <v>20</v>
      </c>
      <c r="K84" s="85">
        <f>K81*K48/1000</f>
        <v>20</v>
      </c>
      <c r="L84" s="85">
        <f>L81*L48/1000</f>
        <v>20</v>
      </c>
      <c r="M84" s="85">
        <f>M81*M48/1000</f>
        <v>20</v>
      </c>
      <c r="N84" s="85">
        <f>N81*N48/1000</f>
        <v>20</v>
      </c>
      <c r="O84" s="85">
        <f>O81*O48/1000</f>
        <v>20</v>
      </c>
      <c r="P84" s="85">
        <f>P81*P48/1000</f>
        <v>20</v>
      </c>
      <c r="Q84" s="85">
        <f>Q81*Q48/1000</f>
        <v>20</v>
      </c>
      <c r="R84" s="85">
        <f>R81*R48/1000</f>
        <v>20</v>
      </c>
      <c r="S84" s="85">
        <f>S81*S48/1000</f>
        <v>20</v>
      </c>
      <c r="T84" s="85">
        <f>T81*T48/1000</f>
        <v>20</v>
      </c>
      <c r="U84" s="85">
        <f>U81*U48/1000</f>
        <v>20</v>
      </c>
      <c r="V84" s="85">
        <f>V81*V48/1000</f>
        <v>20</v>
      </c>
      <c r="W84" s="85">
        <f>W81*W48/1000</f>
        <v>20</v>
      </c>
      <c r="X84" s="85">
        <f>X81*X48/1000</f>
        <v>20</v>
      </c>
      <c r="Y84" s="85">
        <f>Y81*Y48/1000</f>
        <v>20</v>
      </c>
      <c r="Z84" s="85">
        <f>Z81*Z48/1000</f>
        <v>20</v>
      </c>
      <c r="AA84" s="85">
        <f>AA81*AA48/1000</f>
        <v>20</v>
      </c>
      <c r="AB84" s="85">
        <f>AB81*AB48/1000</f>
        <v>20</v>
      </c>
      <c r="AC84" s="85">
        <f>AC81*AC48/1000</f>
        <v>20</v>
      </c>
      <c r="AD84" s="85">
        <f>AD81*AD48/1000</f>
        <v>20</v>
      </c>
      <c r="AE84" s="85">
        <f>AE81*AE48/1000</f>
        <v>20</v>
      </c>
      <c r="AF84" s="85">
        <f>AF81*AF48/1000</f>
        <v>20</v>
      </c>
      <c r="AG84" s="85">
        <f>AG81*AG48/1000</f>
        <v>20</v>
      </c>
      <c r="AH84" s="85">
        <f>AH81*AH48/1000</f>
        <v>20</v>
      </c>
      <c r="AI84" s="85">
        <f>AI81*AI48/1000</f>
        <v>20</v>
      </c>
      <c r="AJ84" s="85">
        <f>AJ81*AJ48/1000</f>
        <v>20</v>
      </c>
      <c r="AK84" s="85">
        <f>AK81*AK48/1000</f>
        <v>20</v>
      </c>
      <c r="AL84" s="85">
        <f>AL81*AL48/1000</f>
        <v>20</v>
      </c>
      <c r="AM84" s="85">
        <f>AM81*AM48/1000</f>
        <v>20</v>
      </c>
      <c r="AN84" s="85">
        <f>AN81*AN48/1000</f>
        <v>20</v>
      </c>
      <c r="AO84" s="85">
        <f>AO81*AO48/1000</f>
        <v>20</v>
      </c>
      <c r="AP84" s="85">
        <f>AP81*AP48/1000</f>
        <v>20</v>
      </c>
      <c r="AQ84" s="85">
        <f>AQ81*AQ48/1000</f>
        <v>20</v>
      </c>
      <c r="AR84" s="85">
        <f>AR81*AR48/1000</f>
        <v>20</v>
      </c>
      <c r="AS84" s="85">
        <f>AS81*AS48/1000</f>
        <v>20</v>
      </c>
      <c r="AT84" s="85">
        <f>AT81*AT48/1000</f>
        <v>20</v>
      </c>
      <c r="AU84" s="85">
        <f>AU81*AU48/1000</f>
        <v>20</v>
      </c>
      <c r="AV84" s="85">
        <f>AV81*AV48/1000</f>
        <v>20</v>
      </c>
      <c r="AW84" s="85">
        <f>AW81*AW48/1000</f>
        <v>20</v>
      </c>
      <c r="AX84" s="85">
        <f>AX81*AX48/1000</f>
        <v>20</v>
      </c>
      <c r="AY84" s="85">
        <f>AY81*AY48/1000</f>
        <v>20</v>
      </c>
      <c r="AZ84" s="85">
        <f>AZ81*AZ48/1000</f>
        <v>20</v>
      </c>
      <c r="BA84" s="85">
        <f>BA81*BA48/1000</f>
        <v>20</v>
      </c>
      <c r="BB84" s="85">
        <f>BB81*BB48/1000</f>
        <v>20</v>
      </c>
      <c r="BC84" s="85">
        <f>BC81*BC48/1000</f>
        <v>20</v>
      </c>
    </row>
    <row r="85" spans="2:55" x14ac:dyDescent="0.25">
      <c r="B85" s="2" t="s">
        <v>13</v>
      </c>
      <c r="C85" s="5">
        <f>AVERAGE(H85:S85)</f>
        <v>48.063333333333333</v>
      </c>
      <c r="D85" s="5">
        <f>AVERAGE(T85:AE85)</f>
        <v>318.17999999999995</v>
      </c>
      <c r="E85" s="5">
        <f>AVERAGE(AF85:AQ85)</f>
        <v>457.01333333333332</v>
      </c>
      <c r="F85" s="5">
        <f>AVERAGE(AG85:AR85)</f>
        <v>465.34666666666664</v>
      </c>
      <c r="H85" s="85">
        <f>H81*H49/1000</f>
        <v>0</v>
      </c>
      <c r="I85" s="85">
        <f>I81*I49/1000</f>
        <v>0</v>
      </c>
      <c r="J85" s="85">
        <f>J81*J49/1000</f>
        <v>0</v>
      </c>
      <c r="K85" s="85">
        <f>K81*K49/1000</f>
        <v>0</v>
      </c>
      <c r="L85" s="85">
        <f>L81*L49/1000</f>
        <v>20.5</v>
      </c>
      <c r="M85" s="85">
        <f>M81*M49/1000</f>
        <v>36.18</v>
      </c>
      <c r="N85" s="85">
        <f>N81*N49/1000</f>
        <v>36.18</v>
      </c>
      <c r="O85" s="85">
        <f>O81*O49/1000</f>
        <v>61.18</v>
      </c>
      <c r="P85" s="85">
        <f>P81*P49/1000</f>
        <v>86.18</v>
      </c>
      <c r="Q85" s="85">
        <f>Q81*Q49/1000</f>
        <v>96.18</v>
      </c>
      <c r="R85" s="85">
        <f>R81*R49/1000</f>
        <v>120.18</v>
      </c>
      <c r="S85" s="85">
        <f>S81*S49/1000</f>
        <v>120.18</v>
      </c>
      <c r="T85" s="85">
        <f>T81*T49/1000</f>
        <v>192.18</v>
      </c>
      <c r="U85" s="85">
        <f>U81*U49/1000</f>
        <v>264.18</v>
      </c>
      <c r="V85" s="85">
        <f>V81*V49/1000</f>
        <v>336.18</v>
      </c>
      <c r="W85" s="85">
        <f>W81*W49/1000</f>
        <v>336.18</v>
      </c>
      <c r="X85" s="85">
        <f>X81*X49/1000</f>
        <v>336.18</v>
      </c>
      <c r="Y85" s="85">
        <f>Y81*Y49/1000</f>
        <v>336.18</v>
      </c>
      <c r="Z85" s="85">
        <f>Z81*Z49/1000</f>
        <v>336.18</v>
      </c>
      <c r="AA85" s="85">
        <f>AA81*AA49/1000</f>
        <v>336.18</v>
      </c>
      <c r="AB85" s="85">
        <f>AB81*AB49/1000</f>
        <v>336.18</v>
      </c>
      <c r="AC85" s="85">
        <f>AC81*AC49/1000</f>
        <v>336.18</v>
      </c>
      <c r="AD85" s="85">
        <f>AD81*AD49/1000</f>
        <v>336.18</v>
      </c>
      <c r="AE85" s="85">
        <f>AE81*AE49/1000</f>
        <v>336.18</v>
      </c>
      <c r="AF85" s="85">
        <f>AF81*AF49/1000</f>
        <v>436.18</v>
      </c>
      <c r="AG85" s="85">
        <f>AG81*AG49/1000</f>
        <v>436.18</v>
      </c>
      <c r="AH85" s="85">
        <f>AH81*AH49/1000</f>
        <v>436.18</v>
      </c>
      <c r="AI85" s="85">
        <f>AI81*AI49/1000</f>
        <v>436.18</v>
      </c>
      <c r="AJ85" s="85">
        <f>AJ81*AJ49/1000</f>
        <v>436.18</v>
      </c>
      <c r="AK85" s="85">
        <f>AK81*AK49/1000</f>
        <v>436.18</v>
      </c>
      <c r="AL85" s="85">
        <f>AL81*AL49/1000</f>
        <v>436.18</v>
      </c>
      <c r="AM85" s="85">
        <f>AM81*AM49/1000</f>
        <v>486.18</v>
      </c>
      <c r="AN85" s="85">
        <f>AN81*AN49/1000</f>
        <v>486.18</v>
      </c>
      <c r="AO85" s="85">
        <f>AO81*AO49/1000</f>
        <v>486.18</v>
      </c>
      <c r="AP85" s="85">
        <f>AP81*AP49/1000</f>
        <v>486.18</v>
      </c>
      <c r="AQ85" s="85">
        <f>AQ81*AQ49/1000</f>
        <v>486.18</v>
      </c>
      <c r="AR85" s="85">
        <f>AR81*AR49/1000</f>
        <v>536.17999999999995</v>
      </c>
      <c r="AS85" s="85">
        <f>AS81*AS49/1000</f>
        <v>536.17999999999995</v>
      </c>
      <c r="AT85" s="85">
        <f>AT81*AT49/1000</f>
        <v>536.17999999999995</v>
      </c>
      <c r="AU85" s="85">
        <f>AU81*AU49/1000</f>
        <v>536.17999999999995</v>
      </c>
      <c r="AV85" s="85">
        <f>AV81*AV49/1000</f>
        <v>536.17999999999995</v>
      </c>
      <c r="AW85" s="85">
        <f>AW81*AW49/1000</f>
        <v>586.17999999999995</v>
      </c>
      <c r="AX85" s="85">
        <f>AX81*AX49/1000</f>
        <v>586.17999999999995</v>
      </c>
      <c r="AY85" s="85">
        <f>AY81*AY49/1000</f>
        <v>586.17999999999995</v>
      </c>
      <c r="AZ85" s="85">
        <f>AZ81*AZ49/1000</f>
        <v>586.17999999999995</v>
      </c>
      <c r="BA85" s="85">
        <f>BA81*BA49/1000</f>
        <v>586.17999999999995</v>
      </c>
      <c r="BB85" s="85">
        <f>BB81*BB49/1000</f>
        <v>586.17999999999995</v>
      </c>
      <c r="BC85" s="85">
        <f>BC81*BC49/1000</f>
        <v>586.17999999999995</v>
      </c>
    </row>
    <row r="86" spans="2:55" s="5" customFormat="1" x14ac:dyDescent="0.25">
      <c r="B86" s="25" t="s">
        <v>82</v>
      </c>
      <c r="C86" s="25">
        <f>SUM(C84:C85)</f>
        <v>68.063333333333333</v>
      </c>
      <c r="D86" s="25">
        <f>SUM(D84:D85)</f>
        <v>338.17999999999995</v>
      </c>
      <c r="E86" s="25">
        <f>SUM(E84:E85)</f>
        <v>477.01333333333332</v>
      </c>
      <c r="F86" s="25">
        <f>SUM(F84:F85)</f>
        <v>485.34666666666664</v>
      </c>
      <c r="G86" s="76"/>
      <c r="H86" s="25">
        <f t="shared" ref="H86:BC86" si="144">SUM(H84:H85)</f>
        <v>20</v>
      </c>
      <c r="I86" s="25">
        <f t="shared" si="144"/>
        <v>20</v>
      </c>
      <c r="J86" s="25">
        <f t="shared" si="144"/>
        <v>20</v>
      </c>
      <c r="K86" s="25">
        <f t="shared" si="144"/>
        <v>20</v>
      </c>
      <c r="L86" s="25">
        <f t="shared" si="144"/>
        <v>40.5</v>
      </c>
      <c r="M86" s="25">
        <f t="shared" si="144"/>
        <v>56.18</v>
      </c>
      <c r="N86" s="50">
        <f t="shared" si="144"/>
        <v>56.18</v>
      </c>
      <c r="O86" s="50">
        <f t="shared" si="144"/>
        <v>81.180000000000007</v>
      </c>
      <c r="P86" s="50">
        <f t="shared" si="144"/>
        <v>106.18</v>
      </c>
      <c r="Q86" s="50">
        <f t="shared" si="144"/>
        <v>116.18</v>
      </c>
      <c r="R86" s="50">
        <f t="shared" si="144"/>
        <v>140.18</v>
      </c>
      <c r="S86" s="50">
        <f t="shared" si="144"/>
        <v>140.18</v>
      </c>
      <c r="T86" s="50">
        <f t="shared" si="144"/>
        <v>212.18</v>
      </c>
      <c r="U86" s="50">
        <f t="shared" si="144"/>
        <v>284.18</v>
      </c>
      <c r="V86" s="50">
        <f t="shared" si="144"/>
        <v>356.18</v>
      </c>
      <c r="W86" s="50">
        <f t="shared" si="144"/>
        <v>356.18</v>
      </c>
      <c r="X86" s="50">
        <f t="shared" si="144"/>
        <v>356.18</v>
      </c>
      <c r="Y86" s="50">
        <f t="shared" si="144"/>
        <v>356.18</v>
      </c>
      <c r="Z86" s="50">
        <f t="shared" si="144"/>
        <v>356.18</v>
      </c>
      <c r="AA86" s="50">
        <f t="shared" si="144"/>
        <v>356.18</v>
      </c>
      <c r="AB86" s="50">
        <f t="shared" si="144"/>
        <v>356.18</v>
      </c>
      <c r="AC86" s="50">
        <f t="shared" si="144"/>
        <v>356.18</v>
      </c>
      <c r="AD86" s="50">
        <f t="shared" si="144"/>
        <v>356.18</v>
      </c>
      <c r="AE86" s="50">
        <f t="shared" si="144"/>
        <v>356.18</v>
      </c>
      <c r="AF86" s="50">
        <f t="shared" si="144"/>
        <v>456.18</v>
      </c>
      <c r="AG86" s="50">
        <f t="shared" si="144"/>
        <v>456.18</v>
      </c>
      <c r="AH86" s="50">
        <f t="shared" si="144"/>
        <v>456.18</v>
      </c>
      <c r="AI86" s="50">
        <f t="shared" si="144"/>
        <v>456.18</v>
      </c>
      <c r="AJ86" s="50">
        <f t="shared" si="144"/>
        <v>456.18</v>
      </c>
      <c r="AK86" s="50">
        <f t="shared" si="144"/>
        <v>456.18</v>
      </c>
      <c r="AL86" s="50">
        <f t="shared" si="144"/>
        <v>456.18</v>
      </c>
      <c r="AM86" s="50">
        <f t="shared" si="144"/>
        <v>506.18</v>
      </c>
      <c r="AN86" s="50">
        <f t="shared" si="144"/>
        <v>506.18</v>
      </c>
      <c r="AO86" s="50">
        <f t="shared" si="144"/>
        <v>506.18</v>
      </c>
      <c r="AP86" s="50">
        <f t="shared" si="144"/>
        <v>506.18</v>
      </c>
      <c r="AQ86" s="50">
        <f t="shared" si="144"/>
        <v>506.18</v>
      </c>
      <c r="AR86" s="50">
        <f t="shared" si="144"/>
        <v>556.17999999999995</v>
      </c>
      <c r="AS86" s="50">
        <f t="shared" si="144"/>
        <v>556.17999999999995</v>
      </c>
      <c r="AT86" s="50">
        <f t="shared" si="144"/>
        <v>556.17999999999995</v>
      </c>
      <c r="AU86" s="50">
        <f t="shared" si="144"/>
        <v>556.17999999999995</v>
      </c>
      <c r="AV86" s="50">
        <f t="shared" si="144"/>
        <v>556.17999999999995</v>
      </c>
      <c r="AW86" s="50">
        <f t="shared" si="144"/>
        <v>606.17999999999995</v>
      </c>
      <c r="AX86" s="50">
        <f t="shared" si="144"/>
        <v>606.17999999999995</v>
      </c>
      <c r="AY86" s="50">
        <f t="shared" si="144"/>
        <v>606.17999999999995</v>
      </c>
      <c r="AZ86" s="50">
        <f t="shared" si="144"/>
        <v>606.17999999999995</v>
      </c>
      <c r="BA86" s="50">
        <f t="shared" si="144"/>
        <v>606.17999999999995</v>
      </c>
      <c r="BB86" s="50">
        <f t="shared" si="144"/>
        <v>606.17999999999995</v>
      </c>
      <c r="BC86" s="50">
        <f t="shared" si="144"/>
        <v>606.17999999999995</v>
      </c>
    </row>
    <row r="87" spans="2:55" s="5" customFormat="1" x14ac:dyDescent="0.25">
      <c r="B87" s="83"/>
      <c r="C87" s="83"/>
      <c r="D87" s="83"/>
      <c r="E87" s="83"/>
      <c r="F87" s="83"/>
      <c r="G87" s="76"/>
      <c r="H87" s="83"/>
      <c r="I87" s="83"/>
      <c r="J87" s="83"/>
      <c r="K87" s="83"/>
      <c r="L87" s="83"/>
      <c r="M87" s="83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  <c r="AP87" s="84"/>
      <c r="AQ87" s="84"/>
      <c r="AR87" s="84"/>
      <c r="AS87" s="84"/>
      <c r="AT87" s="84"/>
      <c r="AU87" s="84"/>
      <c r="AV87" s="84"/>
      <c r="AW87" s="84"/>
      <c r="AX87" s="84"/>
      <c r="AY87" s="84"/>
      <c r="AZ87" s="84"/>
      <c r="BA87" s="84"/>
      <c r="BB87" s="84"/>
      <c r="BC87" s="84"/>
    </row>
    <row r="90" spans="2:55" s="69" customFormat="1" x14ac:dyDescent="0.25">
      <c r="B90" s="70" t="s">
        <v>83</v>
      </c>
      <c r="C90" s="67"/>
      <c r="D90" s="67"/>
      <c r="E90" s="67"/>
      <c r="F90" s="67"/>
      <c r="G90" s="68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</row>
    <row r="91" spans="2:55" x14ac:dyDescent="0.25">
      <c r="C91" s="10"/>
    </row>
    <row r="92" spans="2:55" x14ac:dyDescent="0.25">
      <c r="B92" s="41" t="s">
        <v>90</v>
      </c>
      <c r="C92" s="91" t="str">
        <f>C2</f>
        <v>FY19A</v>
      </c>
      <c r="D92" s="91" t="str">
        <f>D2</f>
        <v>FY20F</v>
      </c>
      <c r="E92" s="91" t="str">
        <f>E2</f>
        <v>FY21F</v>
      </c>
      <c r="F92" s="91" t="str">
        <f>F2</f>
        <v>FY22F</v>
      </c>
    </row>
    <row r="93" spans="2:55" ht="3" customHeight="1" x14ac:dyDescent="0.25">
      <c r="C93" s="10"/>
    </row>
    <row r="94" spans="2:55" x14ac:dyDescent="0.25">
      <c r="B94" t="s">
        <v>3</v>
      </c>
    </row>
    <row r="95" spans="2:55" s="5" customFormat="1" x14ac:dyDescent="0.25">
      <c r="B95" s="40" t="s">
        <v>12</v>
      </c>
      <c r="C95" s="5">
        <f t="shared" ref="C95:C96" si="145">SUM(H95:S95)</f>
        <v>5978.7100000000009</v>
      </c>
      <c r="D95" s="5">
        <f t="shared" ref="D95:D96" si="146">SUM(T95:AE95)</f>
        <v>1871.2623170275274</v>
      </c>
      <c r="E95" s="5">
        <f t="shared" ref="E95:E96" si="147">SUM(AF95:AQ95)</f>
        <v>701.35066639937656</v>
      </c>
      <c r="F95" s="5">
        <f t="shared" ref="F95:F96" si="148">SUM(AG95:AR95)</f>
        <v>646.2579268783677</v>
      </c>
      <c r="G95" s="65"/>
      <c r="H95" s="5">
        <f t="shared" ref="H95:BC95" si="149">H57*H25/1000</f>
        <v>0</v>
      </c>
      <c r="I95" s="5">
        <f t="shared" si="149"/>
        <v>0</v>
      </c>
      <c r="J95" s="5">
        <f t="shared" si="149"/>
        <v>304.8</v>
      </c>
      <c r="K95" s="5">
        <f t="shared" si="149"/>
        <v>332.64</v>
      </c>
      <c r="L95" s="5">
        <f t="shared" si="149"/>
        <v>540.20000000000005</v>
      </c>
      <c r="M95" s="5">
        <f t="shared" si="149"/>
        <v>823.58100000000002</v>
      </c>
      <c r="N95" s="5">
        <f t="shared" si="149"/>
        <v>1027.615</v>
      </c>
      <c r="O95" s="5">
        <f t="shared" si="149"/>
        <v>921.48</v>
      </c>
      <c r="P95" s="5">
        <f t="shared" si="149"/>
        <v>702.50400000000002</v>
      </c>
      <c r="Q95" s="5">
        <f t="shared" si="149"/>
        <v>550.63800000000003</v>
      </c>
      <c r="R95" s="5">
        <f t="shared" si="149"/>
        <v>481.572</v>
      </c>
      <c r="S95" s="5">
        <f t="shared" si="149"/>
        <v>293.68</v>
      </c>
      <c r="T95" s="5">
        <f t="shared" si="149"/>
        <v>211.62941193136766</v>
      </c>
      <c r="U95" s="5">
        <f t="shared" si="149"/>
        <v>201.84616749192432</v>
      </c>
      <c r="V95" s="5">
        <f t="shared" si="149"/>
        <v>193.83851043734145</v>
      </c>
      <c r="W95" s="5">
        <f t="shared" si="149"/>
        <v>185.76489114162021</v>
      </c>
      <c r="X95" s="5">
        <f t="shared" si="149"/>
        <v>177.69682649134648</v>
      </c>
      <c r="Y95" s="5">
        <f t="shared" si="149"/>
        <v>168.22939834724548</v>
      </c>
      <c r="Z95" s="5">
        <f t="shared" si="149"/>
        <v>155.14528718271288</v>
      </c>
      <c r="AA95" s="5">
        <f t="shared" si="149"/>
        <v>139.67930499595633</v>
      </c>
      <c r="AB95" s="5">
        <f t="shared" si="149"/>
        <v>125.27630003429806</v>
      </c>
      <c r="AC95" s="5">
        <f t="shared" si="149"/>
        <v>113.45433941766339</v>
      </c>
      <c r="AD95" s="5">
        <f t="shared" si="149"/>
        <v>104.10150686855491</v>
      </c>
      <c r="AE95" s="5">
        <f t="shared" si="149"/>
        <v>94.600372687496133</v>
      </c>
      <c r="AF95" s="5">
        <f t="shared" si="149"/>
        <v>87.601991614467252</v>
      </c>
      <c r="AG95" s="5">
        <f t="shared" si="149"/>
        <v>81.339316244190158</v>
      </c>
      <c r="AH95" s="5">
        <f t="shared" si="149"/>
        <v>75.374700144187429</v>
      </c>
      <c r="AI95" s="5">
        <f t="shared" si="149"/>
        <v>69.657286501546551</v>
      </c>
      <c r="AJ95" s="5">
        <f t="shared" si="149"/>
        <v>64.18796710030648</v>
      </c>
      <c r="AK95" s="5">
        <f t="shared" si="149"/>
        <v>58.965628242895399</v>
      </c>
      <c r="AL95" s="5">
        <f t="shared" si="149"/>
        <v>54.028489685729113</v>
      </c>
      <c r="AM95" s="5">
        <f t="shared" si="149"/>
        <v>49.476695015387769</v>
      </c>
      <c r="AN95" s="5">
        <f t="shared" si="149"/>
        <v>45.375433822622028</v>
      </c>
      <c r="AO95" s="5">
        <f t="shared" si="149"/>
        <v>41.69320914643167</v>
      </c>
      <c r="AP95" s="5">
        <f t="shared" si="149"/>
        <v>38.35614903982372</v>
      </c>
      <c r="AQ95" s="5">
        <f t="shared" si="149"/>
        <v>35.293799841788932</v>
      </c>
      <c r="AR95" s="5">
        <f t="shared" si="149"/>
        <v>32.509252093458493</v>
      </c>
      <c r="AS95" s="5">
        <f t="shared" si="149"/>
        <v>29.931371010480319</v>
      </c>
      <c r="AT95" s="5">
        <f t="shared" si="149"/>
        <v>27.53876311549838</v>
      </c>
      <c r="AU95" s="5">
        <f t="shared" si="149"/>
        <v>25.322368993107126</v>
      </c>
      <c r="AV95" s="5">
        <f t="shared" si="149"/>
        <v>23.274587898671701</v>
      </c>
      <c r="AW95" s="5">
        <f t="shared" si="149"/>
        <v>21.387823478990438</v>
      </c>
      <c r="AX95" s="5">
        <f t="shared" si="149"/>
        <v>19.654539896606771</v>
      </c>
      <c r="AY95" s="5">
        <f t="shared" si="149"/>
        <v>18.066160498892927</v>
      </c>
      <c r="AZ95" s="5">
        <f t="shared" si="149"/>
        <v>16.611338347777828</v>
      </c>
      <c r="BA95" s="5">
        <f t="shared" si="149"/>
        <v>15.276945418304562</v>
      </c>
      <c r="BB95" s="5">
        <f t="shared" si="149"/>
        <v>14.050786112302145</v>
      </c>
      <c r="BC95" s="5">
        <f t="shared" si="149"/>
        <v>12.922779898686757</v>
      </c>
    </row>
    <row r="96" spans="2:55" s="5" customFormat="1" x14ac:dyDescent="0.25">
      <c r="B96" s="40" t="s">
        <v>13</v>
      </c>
      <c r="C96" s="5">
        <f t="shared" si="145"/>
        <v>5651.27</v>
      </c>
      <c r="D96" s="5">
        <f t="shared" si="146"/>
        <v>16149.62655282764</v>
      </c>
      <c r="E96" s="5">
        <f t="shared" si="147"/>
        <v>8749.1467327245518</v>
      </c>
      <c r="F96" s="5">
        <f t="shared" si="148"/>
        <v>8174.5957176404199</v>
      </c>
      <c r="G96" s="65"/>
      <c r="H96" s="5">
        <f>H58*H25/1000</f>
        <v>0</v>
      </c>
      <c r="I96" s="5">
        <f t="shared" ref="I96:BC96" si="150">I58*I25/1000</f>
        <v>0</v>
      </c>
      <c r="J96" s="5">
        <f t="shared" si="150"/>
        <v>0</v>
      </c>
      <c r="K96" s="5">
        <f t="shared" si="150"/>
        <v>0</v>
      </c>
      <c r="L96" s="5">
        <f t="shared" si="150"/>
        <v>0</v>
      </c>
      <c r="M96" s="5">
        <f t="shared" si="150"/>
        <v>515.77800000000002</v>
      </c>
      <c r="N96" s="5">
        <f t="shared" si="150"/>
        <v>843.726</v>
      </c>
      <c r="O96" s="5">
        <f t="shared" si="150"/>
        <v>899.54</v>
      </c>
      <c r="P96" s="5">
        <f t="shared" si="150"/>
        <v>936.67200000000003</v>
      </c>
      <c r="Q96" s="5">
        <f t="shared" si="150"/>
        <v>817.61400000000003</v>
      </c>
      <c r="R96" s="5">
        <f t="shared" si="150"/>
        <v>889.05600000000004</v>
      </c>
      <c r="S96" s="5">
        <f t="shared" si="150"/>
        <v>748.88400000000001</v>
      </c>
      <c r="T96" s="5">
        <f t="shared" si="150"/>
        <v>1124.5512834800622</v>
      </c>
      <c r="U96" s="5">
        <f t="shared" si="150"/>
        <v>1474.4005865640877</v>
      </c>
      <c r="V96" s="5">
        <f t="shared" si="150"/>
        <v>1801.8016820817295</v>
      </c>
      <c r="W96" s="5">
        <f t="shared" si="150"/>
        <v>1726.7543615327997</v>
      </c>
      <c r="X96" s="5">
        <f t="shared" si="150"/>
        <v>1651.7586734973904</v>
      </c>
      <c r="Y96" s="5">
        <f t="shared" si="150"/>
        <v>1563.7553767503114</v>
      </c>
      <c r="Z96" s="5">
        <f t="shared" si="150"/>
        <v>1442.133654360839</v>
      </c>
      <c r="AA96" s="5">
        <f t="shared" si="150"/>
        <v>1298.3715471496823</v>
      </c>
      <c r="AB96" s="5">
        <f t="shared" si="150"/>
        <v>1164.4902120713459</v>
      </c>
      <c r="AC96" s="5">
        <f t="shared" si="150"/>
        <v>1054.600652579287</v>
      </c>
      <c r="AD96" s="5">
        <f t="shared" si="150"/>
        <v>967.66256488355123</v>
      </c>
      <c r="AE96" s="5">
        <f t="shared" si="150"/>
        <v>879.34595787655667</v>
      </c>
      <c r="AF96" s="5">
        <f t="shared" si="150"/>
        <v>1056.5128398564925</v>
      </c>
      <c r="AG96" s="5">
        <f t="shared" si="150"/>
        <v>980.98262851529216</v>
      </c>
      <c r="AH96" s="5">
        <f t="shared" si="150"/>
        <v>909.04712364456816</v>
      </c>
      <c r="AI96" s="5">
        <f t="shared" si="150"/>
        <v>840.09297302656785</v>
      </c>
      <c r="AJ96" s="5">
        <f t="shared" si="150"/>
        <v>774.13093191091752</v>
      </c>
      <c r="AK96" s="5">
        <f t="shared" si="150"/>
        <v>711.14756868764243</v>
      </c>
      <c r="AL96" s="5">
        <f t="shared" si="150"/>
        <v>651.60382793854183</v>
      </c>
      <c r="AM96" s="5">
        <f t="shared" si="150"/>
        <v>665.10899642638822</v>
      </c>
      <c r="AN96" s="5">
        <f t="shared" si="150"/>
        <v>609.97625736298608</v>
      </c>
      <c r="AO96" s="5">
        <f t="shared" si="150"/>
        <v>560.47657355759509</v>
      </c>
      <c r="AP96" s="5">
        <f t="shared" si="150"/>
        <v>515.61689370569206</v>
      </c>
      <c r="AQ96" s="5">
        <f t="shared" si="150"/>
        <v>474.45011809186798</v>
      </c>
      <c r="AR96" s="5">
        <f t="shared" si="150"/>
        <v>481.96182477236073</v>
      </c>
      <c r="AS96" s="5">
        <f t="shared" si="150"/>
        <v>443.7437732703911</v>
      </c>
      <c r="AT96" s="5">
        <f t="shared" si="150"/>
        <v>408.27246609558574</v>
      </c>
      <c r="AU96" s="5">
        <f t="shared" si="150"/>
        <v>375.4135940252138</v>
      </c>
      <c r="AV96" s="5">
        <f t="shared" si="150"/>
        <v>345.05447317644365</v>
      </c>
      <c r="AW96" s="5">
        <f t="shared" si="150"/>
        <v>346.65114499443064</v>
      </c>
      <c r="AX96" s="5">
        <f t="shared" si="150"/>
        <v>318.55830333508339</v>
      </c>
      <c r="AY96" s="5">
        <f t="shared" si="150"/>
        <v>292.81405042202084</v>
      </c>
      <c r="AZ96" s="5">
        <f t="shared" si="150"/>
        <v>269.23447651433878</v>
      </c>
      <c r="BA96" s="5">
        <f t="shared" si="150"/>
        <v>247.60680423956214</v>
      </c>
      <c r="BB96" s="5">
        <f t="shared" si="150"/>
        <v>227.73336888094104</v>
      </c>
      <c r="BC96" s="5">
        <f t="shared" si="150"/>
        <v>209.45078646227114</v>
      </c>
    </row>
    <row r="97" spans="2:55" s="5" customFormat="1" x14ac:dyDescent="0.25">
      <c r="B97" s="25" t="s">
        <v>6</v>
      </c>
      <c r="C97" s="25">
        <f>SUM(C95:C96)</f>
        <v>11629.980000000001</v>
      </c>
      <c r="D97" s="25">
        <f t="shared" ref="D97:F97" si="151">SUM(D95:D96)</f>
        <v>18020.888869855167</v>
      </c>
      <c r="E97" s="25">
        <f t="shared" si="151"/>
        <v>9450.4973991239276</v>
      </c>
      <c r="F97" s="25">
        <f t="shared" si="151"/>
        <v>8820.8536445187874</v>
      </c>
      <c r="G97" s="76"/>
      <c r="H97" s="25">
        <f t="shared" ref="H97" si="152">SUM(H95:H96)</f>
        <v>0</v>
      </c>
      <c r="I97" s="25">
        <f t="shared" ref="I97" si="153">SUM(I95:I96)</f>
        <v>0</v>
      </c>
      <c r="J97" s="25">
        <f t="shared" ref="J97" si="154">SUM(J95:J96)</f>
        <v>304.8</v>
      </c>
      <c r="K97" s="25">
        <f t="shared" ref="K97" si="155">SUM(K95:K96)</f>
        <v>332.64</v>
      </c>
      <c r="L97" s="25">
        <f t="shared" ref="L97" si="156">SUM(L95:L96)</f>
        <v>540.20000000000005</v>
      </c>
      <c r="M97" s="25">
        <f t="shared" ref="M97" si="157">SUM(M95:M96)</f>
        <v>1339.3589999999999</v>
      </c>
      <c r="N97" s="50">
        <f t="shared" ref="N97" si="158">SUM(N95:N96)</f>
        <v>1871.3409999999999</v>
      </c>
      <c r="O97" s="50">
        <f t="shared" ref="O97" si="159">SUM(O95:O96)</f>
        <v>1821.02</v>
      </c>
      <c r="P97" s="50">
        <f t="shared" ref="P97" si="160">SUM(P95:P96)</f>
        <v>1639.1759999999999</v>
      </c>
      <c r="Q97" s="50">
        <f t="shared" ref="Q97" si="161">SUM(Q95:Q96)</f>
        <v>1368.252</v>
      </c>
      <c r="R97" s="50">
        <f t="shared" ref="R97" si="162">SUM(R95:R96)</f>
        <v>1370.6280000000002</v>
      </c>
      <c r="S97" s="50">
        <f t="shared" ref="S97" si="163">SUM(S95:S96)</f>
        <v>1042.5640000000001</v>
      </c>
      <c r="T97" s="50">
        <f t="shared" ref="T97" si="164">SUM(T95:T96)</f>
        <v>1336.18069541143</v>
      </c>
      <c r="U97" s="50">
        <f t="shared" ref="U97" si="165">SUM(U95:U96)</f>
        <v>1676.2467540560119</v>
      </c>
      <c r="V97" s="50">
        <f t="shared" ref="V97" si="166">SUM(V95:V96)</f>
        <v>1995.640192519071</v>
      </c>
      <c r="W97" s="50">
        <f t="shared" ref="W97" si="167">SUM(W95:W96)</f>
        <v>1912.5192526744199</v>
      </c>
      <c r="X97" s="50">
        <f t="shared" ref="X97" si="168">SUM(X95:X96)</f>
        <v>1829.4554999887368</v>
      </c>
      <c r="Y97" s="50">
        <f t="shared" ref="Y97" si="169">SUM(Y95:Y96)</f>
        <v>1731.9847750975568</v>
      </c>
      <c r="Z97" s="50">
        <f t="shared" ref="Z97" si="170">SUM(Z95:Z96)</f>
        <v>1597.2789415435518</v>
      </c>
      <c r="AA97" s="50">
        <f t="shared" ref="AA97" si="171">SUM(AA95:AA96)</f>
        <v>1438.0508521456386</v>
      </c>
      <c r="AB97" s="50">
        <f t="shared" ref="AB97" si="172">SUM(AB95:AB96)</f>
        <v>1289.7665121056439</v>
      </c>
      <c r="AC97" s="50">
        <f t="shared" ref="AC97" si="173">SUM(AC95:AC96)</f>
        <v>1168.0549919969503</v>
      </c>
      <c r="AD97" s="50">
        <f t="shared" ref="AD97" si="174">SUM(AD95:AD96)</f>
        <v>1071.7640717521062</v>
      </c>
      <c r="AE97" s="50">
        <f t="shared" ref="AE97" si="175">SUM(AE95:AE96)</f>
        <v>973.9463305640528</v>
      </c>
      <c r="AF97" s="50">
        <f t="shared" ref="AF97" si="176">SUM(AF95:AF96)</f>
        <v>1144.1148314709599</v>
      </c>
      <c r="AG97" s="50">
        <f t="shared" ref="AG97" si="177">SUM(AG95:AG96)</f>
        <v>1062.3219447594822</v>
      </c>
      <c r="AH97" s="50">
        <f t="shared" ref="AH97" si="178">SUM(AH95:AH96)</f>
        <v>984.42182378875555</v>
      </c>
      <c r="AI97" s="50">
        <f t="shared" ref="AI97" si="179">SUM(AI95:AI96)</f>
        <v>909.75025952811438</v>
      </c>
      <c r="AJ97" s="50">
        <f t="shared" ref="AJ97" si="180">SUM(AJ95:AJ96)</f>
        <v>838.31889901122395</v>
      </c>
      <c r="AK97" s="50">
        <f t="shared" ref="AK97" si="181">SUM(AK95:AK96)</f>
        <v>770.11319693053781</v>
      </c>
      <c r="AL97" s="50">
        <f t="shared" ref="AL97" si="182">SUM(AL95:AL96)</f>
        <v>705.63231762427097</v>
      </c>
      <c r="AM97" s="50">
        <f t="shared" ref="AM97" si="183">SUM(AM95:AM96)</f>
        <v>714.58569144177602</v>
      </c>
      <c r="AN97" s="50">
        <f t="shared" ref="AN97" si="184">SUM(AN95:AN96)</f>
        <v>655.35169118560816</v>
      </c>
      <c r="AO97" s="50">
        <f t="shared" ref="AO97" si="185">SUM(AO95:AO96)</f>
        <v>602.16978270402672</v>
      </c>
      <c r="AP97" s="50">
        <f t="shared" ref="AP97" si="186">SUM(AP95:AP96)</f>
        <v>553.97304274551584</v>
      </c>
      <c r="AQ97" s="50">
        <f t="shared" ref="AQ97" si="187">SUM(AQ95:AQ96)</f>
        <v>509.74391793365692</v>
      </c>
      <c r="AR97" s="50">
        <f t="shared" ref="AR97" si="188">SUM(AR95:AR96)</f>
        <v>514.47107686581921</v>
      </c>
      <c r="AS97" s="50">
        <f t="shared" ref="AS97" si="189">SUM(AS95:AS96)</f>
        <v>473.67514428087145</v>
      </c>
      <c r="AT97" s="50">
        <f t="shared" ref="AT97" si="190">SUM(AT95:AT96)</f>
        <v>435.81122921108414</v>
      </c>
      <c r="AU97" s="50">
        <f t="shared" ref="AU97" si="191">SUM(AU95:AU96)</f>
        <v>400.73596301832094</v>
      </c>
      <c r="AV97" s="50">
        <f t="shared" ref="AV97" si="192">SUM(AV95:AV96)</f>
        <v>368.32906107511536</v>
      </c>
      <c r="AW97" s="50">
        <f t="shared" ref="AW97" si="193">SUM(AW95:AW96)</f>
        <v>368.03896847342105</v>
      </c>
      <c r="AX97" s="50">
        <f t="shared" ref="AX97" si="194">SUM(AX95:AX96)</f>
        <v>338.21284323169016</v>
      </c>
      <c r="AY97" s="50">
        <f t="shared" ref="AY97" si="195">SUM(AY95:AY96)</f>
        <v>310.88021092091378</v>
      </c>
      <c r="AZ97" s="50">
        <f t="shared" ref="AZ97" si="196">SUM(AZ95:AZ96)</f>
        <v>285.84581486211658</v>
      </c>
      <c r="BA97" s="50">
        <f t="shared" ref="BA97" si="197">SUM(BA95:BA96)</f>
        <v>262.8837496578667</v>
      </c>
      <c r="BB97" s="50">
        <f t="shared" ref="BB97" si="198">SUM(BB95:BB96)</f>
        <v>241.78415499324319</v>
      </c>
      <c r="BC97" s="50">
        <f t="shared" ref="BC97" si="199">SUM(BC95:BC96)</f>
        <v>222.37356636095791</v>
      </c>
    </row>
    <row r="98" spans="2:55" ht="3" customHeight="1" x14ac:dyDescent="0.25">
      <c r="B98" s="2"/>
    </row>
    <row r="99" spans="2:55" x14ac:dyDescent="0.25">
      <c r="B99" s="82" t="s">
        <v>84</v>
      </c>
    </row>
    <row r="100" spans="2:55" x14ac:dyDescent="0.25">
      <c r="B100" s="2" t="s">
        <v>81</v>
      </c>
      <c r="C100" s="5">
        <f t="shared" ref="C100" si="200">SUM(H100:S100)</f>
        <v>-1315.1205696000002</v>
      </c>
      <c r="D100" s="5">
        <f t="shared" ref="D100" si="201">SUM(T100:AE100)</f>
        <v>-7294.4221824000015</v>
      </c>
      <c r="E100" s="5">
        <f t="shared" ref="E100" si="202">SUM(AF100:AQ100)</f>
        <v>-10339.866335999999</v>
      </c>
      <c r="F100" s="5">
        <f t="shared" ref="F100" si="203">SUM(AG100:AR100)</f>
        <v>-10527.354336</v>
      </c>
      <c r="H100" s="23">
        <f>-H77</f>
        <v>-21.09984</v>
      </c>
      <c r="I100" s="23">
        <f t="shared" ref="I100:BC100" si="204">-I77</f>
        <v>-19.057919999999999</v>
      </c>
      <c r="J100" s="23">
        <f t="shared" si="204"/>
        <v>-21.09984</v>
      </c>
      <c r="K100" s="23">
        <f t="shared" si="204"/>
        <v>-20.4192</v>
      </c>
      <c r="L100" s="23">
        <f t="shared" si="204"/>
        <v>-59.534880000000008</v>
      </c>
      <c r="M100" s="23">
        <f t="shared" si="204"/>
        <v>-86.064192000000006</v>
      </c>
      <c r="N100" s="23">
        <f t="shared" si="204"/>
        <v>-88.932998400000002</v>
      </c>
      <c r="O100" s="23">
        <f t="shared" si="204"/>
        <v>-135.80499840000002</v>
      </c>
      <c r="P100" s="23">
        <f t="shared" si="204"/>
        <v>-176.78419199999999</v>
      </c>
      <c r="Q100" s="23">
        <f t="shared" si="204"/>
        <v>-201.42579839999999</v>
      </c>
      <c r="R100" s="23">
        <f t="shared" si="204"/>
        <v>-238.47379200000003</v>
      </c>
      <c r="S100" s="23">
        <f t="shared" si="204"/>
        <v>-246.42291840000001</v>
      </c>
      <c r="T100" s="23">
        <f t="shared" si="204"/>
        <v>-381.41427840000006</v>
      </c>
      <c r="U100" s="23">
        <f t="shared" si="204"/>
        <v>-483.08914559999999</v>
      </c>
      <c r="V100" s="23">
        <f t="shared" si="204"/>
        <v>-651.39699840000003</v>
      </c>
      <c r="W100" s="23">
        <f t="shared" si="204"/>
        <v>-630.3841920000001</v>
      </c>
      <c r="X100" s="23">
        <f t="shared" si="204"/>
        <v>-651.39699840000003</v>
      </c>
      <c r="Y100" s="23">
        <f t="shared" si="204"/>
        <v>-630.3841920000001</v>
      </c>
      <c r="Z100" s="23">
        <f t="shared" si="204"/>
        <v>-651.39699840000003</v>
      </c>
      <c r="AA100" s="23">
        <f t="shared" si="204"/>
        <v>-651.39699840000003</v>
      </c>
      <c r="AB100" s="23">
        <f t="shared" si="204"/>
        <v>-630.3841920000001</v>
      </c>
      <c r="AC100" s="23">
        <f t="shared" si="204"/>
        <v>-651.39699840000003</v>
      </c>
      <c r="AD100" s="23">
        <f t="shared" si="204"/>
        <v>-630.3841920000001</v>
      </c>
      <c r="AE100" s="23">
        <f t="shared" si="204"/>
        <v>-651.39699840000003</v>
      </c>
      <c r="AF100" s="23">
        <f t="shared" si="204"/>
        <v>-838.88499840000009</v>
      </c>
      <c r="AG100" s="23">
        <f t="shared" si="204"/>
        <v>-757.70257920000006</v>
      </c>
      <c r="AH100" s="23">
        <f t="shared" si="204"/>
        <v>-838.88499840000009</v>
      </c>
      <c r="AI100" s="23">
        <f t="shared" si="204"/>
        <v>-811.82419200000015</v>
      </c>
      <c r="AJ100" s="23">
        <f t="shared" si="204"/>
        <v>-838.88499840000009</v>
      </c>
      <c r="AK100" s="23">
        <f t="shared" si="204"/>
        <v>-811.82419200000015</v>
      </c>
      <c r="AL100" s="23">
        <f t="shared" si="204"/>
        <v>-838.88499840000009</v>
      </c>
      <c r="AM100" s="23">
        <f t="shared" si="204"/>
        <v>-932.6289984</v>
      </c>
      <c r="AN100" s="23">
        <f t="shared" si="204"/>
        <v>-902.54419200000018</v>
      </c>
      <c r="AO100" s="23">
        <f t="shared" si="204"/>
        <v>-932.6289984</v>
      </c>
      <c r="AP100" s="23">
        <f t="shared" si="204"/>
        <v>-902.54419200000018</v>
      </c>
      <c r="AQ100" s="23">
        <f t="shared" si="204"/>
        <v>-932.6289984</v>
      </c>
      <c r="AR100" s="23">
        <f t="shared" si="204"/>
        <v>-1026.3729984000001</v>
      </c>
      <c r="AS100" s="23">
        <f t="shared" si="204"/>
        <v>-927.04657920000011</v>
      </c>
      <c r="AT100" s="23">
        <f t="shared" si="204"/>
        <v>-1026.3729984000001</v>
      </c>
      <c r="AU100" s="23">
        <f t="shared" si="204"/>
        <v>-993.26419200000009</v>
      </c>
      <c r="AV100" s="23">
        <f t="shared" si="204"/>
        <v>-1026.3729984000001</v>
      </c>
      <c r="AW100" s="23">
        <f t="shared" si="204"/>
        <v>-1083.9841920000001</v>
      </c>
      <c r="AX100" s="23">
        <f t="shared" si="204"/>
        <v>-1120.1169984000001</v>
      </c>
      <c r="AY100" s="23">
        <f t="shared" si="204"/>
        <v>-1120.1169984000001</v>
      </c>
      <c r="AZ100" s="23">
        <f t="shared" si="204"/>
        <v>-1083.9841920000001</v>
      </c>
      <c r="BA100" s="23">
        <f t="shared" si="204"/>
        <v>-1120.1169984000001</v>
      </c>
      <c r="BB100" s="23">
        <f t="shared" si="204"/>
        <v>-1083.9841920000001</v>
      </c>
      <c r="BC100" s="23">
        <f t="shared" si="204"/>
        <v>-1120.1169984000001</v>
      </c>
    </row>
    <row r="101" spans="2:55" x14ac:dyDescent="0.25">
      <c r="B101" s="2" t="s">
        <v>82</v>
      </c>
      <c r="C101" s="23">
        <f>-C86</f>
        <v>-68.063333333333333</v>
      </c>
      <c r="D101" s="23">
        <f>-D86</f>
        <v>-338.17999999999995</v>
      </c>
      <c r="E101" s="23">
        <f>-E86</f>
        <v>-477.01333333333332</v>
      </c>
      <c r="F101" s="23">
        <f>-F86</f>
        <v>-485.34666666666664</v>
      </c>
      <c r="H101" s="23">
        <f>-H86</f>
        <v>-20</v>
      </c>
      <c r="I101" s="23">
        <f>-I86</f>
        <v>-20</v>
      </c>
      <c r="J101" s="23">
        <f>-J86</f>
        <v>-20</v>
      </c>
      <c r="K101" s="23">
        <f>-K86</f>
        <v>-20</v>
      </c>
      <c r="L101" s="23">
        <f>-L86</f>
        <v>-40.5</v>
      </c>
      <c r="M101" s="23">
        <f>-M86</f>
        <v>-56.18</v>
      </c>
      <c r="N101" s="23">
        <f>-N86</f>
        <v>-56.18</v>
      </c>
      <c r="O101" s="23">
        <f>-O86</f>
        <v>-81.180000000000007</v>
      </c>
      <c r="P101" s="23">
        <f>-P86</f>
        <v>-106.18</v>
      </c>
      <c r="Q101" s="23">
        <f>-Q86</f>
        <v>-116.18</v>
      </c>
      <c r="R101" s="23">
        <f>-R86</f>
        <v>-140.18</v>
      </c>
      <c r="S101" s="23">
        <f>-S86</f>
        <v>-140.18</v>
      </c>
      <c r="T101" s="23">
        <f>-T86</f>
        <v>-212.18</v>
      </c>
      <c r="U101" s="23">
        <f>-U86</f>
        <v>-284.18</v>
      </c>
      <c r="V101" s="23">
        <f>-V86</f>
        <v>-356.18</v>
      </c>
      <c r="W101" s="23">
        <f>-W86</f>
        <v>-356.18</v>
      </c>
      <c r="X101" s="23">
        <f>-X86</f>
        <v>-356.18</v>
      </c>
      <c r="Y101" s="23">
        <f>-Y86</f>
        <v>-356.18</v>
      </c>
      <c r="Z101" s="23">
        <f>-Z86</f>
        <v>-356.18</v>
      </c>
      <c r="AA101" s="23">
        <f>-AA86</f>
        <v>-356.18</v>
      </c>
      <c r="AB101" s="23">
        <f>-AB86</f>
        <v>-356.18</v>
      </c>
      <c r="AC101" s="23">
        <f>-AC86</f>
        <v>-356.18</v>
      </c>
      <c r="AD101" s="23">
        <f>-AD86</f>
        <v>-356.18</v>
      </c>
      <c r="AE101" s="23">
        <f>-AE86</f>
        <v>-356.18</v>
      </c>
      <c r="AF101" s="23">
        <f>-AF86</f>
        <v>-456.18</v>
      </c>
      <c r="AG101" s="23">
        <f>-AG86</f>
        <v>-456.18</v>
      </c>
      <c r="AH101" s="23">
        <f>-AH86</f>
        <v>-456.18</v>
      </c>
      <c r="AI101" s="23">
        <f>-AI86</f>
        <v>-456.18</v>
      </c>
      <c r="AJ101" s="23">
        <f>-AJ86</f>
        <v>-456.18</v>
      </c>
      <c r="AK101" s="23">
        <f>-AK86</f>
        <v>-456.18</v>
      </c>
      <c r="AL101" s="23">
        <f>-AL86</f>
        <v>-456.18</v>
      </c>
      <c r="AM101" s="23">
        <f>-AM86</f>
        <v>-506.18</v>
      </c>
      <c r="AN101" s="23">
        <f>-AN86</f>
        <v>-506.18</v>
      </c>
      <c r="AO101" s="23">
        <f>-AO86</f>
        <v>-506.18</v>
      </c>
      <c r="AP101" s="23">
        <f>-AP86</f>
        <v>-506.18</v>
      </c>
      <c r="AQ101" s="23">
        <f>-AQ86</f>
        <v>-506.18</v>
      </c>
      <c r="AR101" s="23">
        <f>-AR86</f>
        <v>-556.17999999999995</v>
      </c>
      <c r="AS101" s="23">
        <f>-AS86</f>
        <v>-556.17999999999995</v>
      </c>
      <c r="AT101" s="23">
        <f>-AT86</f>
        <v>-556.17999999999995</v>
      </c>
      <c r="AU101" s="23">
        <f>-AU86</f>
        <v>-556.17999999999995</v>
      </c>
      <c r="AV101" s="23">
        <f>-AV86</f>
        <v>-556.17999999999995</v>
      </c>
      <c r="AW101" s="23">
        <f>-AW86</f>
        <v>-606.17999999999995</v>
      </c>
      <c r="AX101" s="23">
        <f>-AX86</f>
        <v>-606.17999999999995</v>
      </c>
      <c r="AY101" s="23">
        <f>-AY86</f>
        <v>-606.17999999999995</v>
      </c>
      <c r="AZ101" s="23">
        <f>-AZ86</f>
        <v>-606.17999999999995</v>
      </c>
      <c r="BA101" s="23">
        <f>-BA86</f>
        <v>-606.17999999999995</v>
      </c>
      <c r="BB101" s="23">
        <f>-BB86</f>
        <v>-606.17999999999995</v>
      </c>
      <c r="BC101" s="23">
        <f>-BC86</f>
        <v>-606.17999999999995</v>
      </c>
    </row>
    <row r="102" spans="2:55" s="5" customFormat="1" ht="15.75" thickBot="1" x14ac:dyDescent="0.3">
      <c r="B102" s="86" t="s">
        <v>87</v>
      </c>
      <c r="C102" s="86">
        <f>SUM(C97:C101)</f>
        <v>10246.796097066668</v>
      </c>
      <c r="D102" s="86">
        <f t="shared" ref="D102:F102" si="205">SUM(D97:D101)</f>
        <v>10388.286687455166</v>
      </c>
      <c r="E102" s="86">
        <f t="shared" si="205"/>
        <v>-1366.3822702094049</v>
      </c>
      <c r="F102" s="86">
        <f t="shared" si="205"/>
        <v>-2191.8473581478797</v>
      </c>
      <c r="G102" s="76"/>
      <c r="H102" s="86">
        <f t="shared" ref="H102" si="206">SUM(H97:H101)</f>
        <v>-41.09984</v>
      </c>
      <c r="I102" s="86">
        <f t="shared" ref="I102" si="207">SUM(I97:I101)</f>
        <v>-39.057919999999996</v>
      </c>
      <c r="J102" s="86">
        <f t="shared" ref="J102" si="208">SUM(J97:J101)</f>
        <v>263.70015999999998</v>
      </c>
      <c r="K102" s="86">
        <f t="shared" ref="K102" si="209">SUM(K97:K101)</f>
        <v>292.2208</v>
      </c>
      <c r="L102" s="86">
        <f t="shared" ref="L102" si="210">SUM(L97:L101)</f>
        <v>440.16512000000006</v>
      </c>
      <c r="M102" s="86">
        <f t="shared" ref="M102" si="211">SUM(M97:M101)</f>
        <v>1197.1148079999998</v>
      </c>
      <c r="N102" s="87">
        <f t="shared" ref="N102" si="212">SUM(N97:N101)</f>
        <v>1726.2280015999997</v>
      </c>
      <c r="O102" s="87">
        <f t="shared" ref="O102" si="213">SUM(O97:O101)</f>
        <v>1604.0350016</v>
      </c>
      <c r="P102" s="87">
        <f t="shared" ref="P102" si="214">SUM(P97:P101)</f>
        <v>1356.2118079999998</v>
      </c>
      <c r="Q102" s="87">
        <f t="shared" ref="Q102" si="215">SUM(Q97:Q101)</f>
        <v>1050.6462015999998</v>
      </c>
      <c r="R102" s="87">
        <f t="shared" ref="R102" si="216">SUM(R97:R101)</f>
        <v>991.97420800000009</v>
      </c>
      <c r="S102" s="87">
        <f t="shared" ref="S102" si="217">SUM(S97:S101)</f>
        <v>655.96108159999994</v>
      </c>
      <c r="T102" s="87">
        <f t="shared" ref="T102" si="218">SUM(T97:T101)</f>
        <v>742.58641701142983</v>
      </c>
      <c r="U102" s="87">
        <f t="shared" ref="U102" si="219">SUM(U97:U101)</f>
        <v>908.97760845601192</v>
      </c>
      <c r="V102" s="87">
        <f t="shared" ref="V102" si="220">SUM(V97:V101)</f>
        <v>988.06319411907089</v>
      </c>
      <c r="W102" s="87">
        <f t="shared" ref="W102" si="221">SUM(W97:W101)</f>
        <v>925.95506067441988</v>
      </c>
      <c r="X102" s="87">
        <f t="shared" ref="X102" si="222">SUM(X97:X101)</f>
        <v>821.87850158873675</v>
      </c>
      <c r="Y102" s="87">
        <f t="shared" ref="Y102" si="223">SUM(Y97:Y101)</f>
        <v>745.4205830975568</v>
      </c>
      <c r="Z102" s="87">
        <f t="shared" ref="Z102" si="224">SUM(Z97:Z101)</f>
        <v>589.70194314355172</v>
      </c>
      <c r="AA102" s="87">
        <f t="shared" ref="AA102" si="225">SUM(AA97:AA101)</f>
        <v>430.47385374563856</v>
      </c>
      <c r="AB102" s="87">
        <f t="shared" ref="AB102" si="226">SUM(AB97:AB101)</f>
        <v>303.20232010564376</v>
      </c>
      <c r="AC102" s="87">
        <f t="shared" ref="AC102" si="227">SUM(AC97:AC101)</f>
        <v>160.47799359695028</v>
      </c>
      <c r="AD102" s="87">
        <f t="shared" ref="AD102" si="228">SUM(AD97:AD101)</f>
        <v>85.199879752106142</v>
      </c>
      <c r="AE102" s="87">
        <f t="shared" ref="AE102" si="229">SUM(AE97:AE101)</f>
        <v>-33.630667835947236</v>
      </c>
      <c r="AF102" s="87">
        <f t="shared" ref="AF102" si="230">SUM(AF97:AF101)</f>
        <v>-150.95016692904022</v>
      </c>
      <c r="AG102" s="87">
        <f t="shared" ref="AG102" si="231">SUM(AG97:AG101)</f>
        <v>-151.56063444051784</v>
      </c>
      <c r="AH102" s="87">
        <f t="shared" ref="AH102" si="232">SUM(AH97:AH101)</f>
        <v>-310.64317461124455</v>
      </c>
      <c r="AI102" s="87">
        <f t="shared" ref="AI102" si="233">SUM(AI97:AI101)</f>
        <v>-358.25393247188578</v>
      </c>
      <c r="AJ102" s="87">
        <f t="shared" ref="AJ102" si="234">SUM(AJ97:AJ101)</f>
        <v>-456.74609938877614</v>
      </c>
      <c r="AK102" s="87">
        <f t="shared" ref="AK102" si="235">SUM(AK97:AK101)</f>
        <v>-497.89099506946235</v>
      </c>
      <c r="AL102" s="87">
        <f t="shared" ref="AL102" si="236">SUM(AL97:AL101)</f>
        <v>-589.43268077572907</v>
      </c>
      <c r="AM102" s="87">
        <f t="shared" ref="AM102" si="237">SUM(AM97:AM101)</f>
        <v>-724.22330695822393</v>
      </c>
      <c r="AN102" s="87">
        <f t="shared" ref="AN102" si="238">SUM(AN97:AN101)</f>
        <v>-753.37250081439197</v>
      </c>
      <c r="AO102" s="87">
        <f t="shared" ref="AO102" si="239">SUM(AO97:AO101)</f>
        <v>-836.63921569597323</v>
      </c>
      <c r="AP102" s="87">
        <f t="shared" ref="AP102" si="240">SUM(AP97:AP101)</f>
        <v>-854.75114925448429</v>
      </c>
      <c r="AQ102" s="87">
        <f t="shared" ref="AQ102" si="241">SUM(AQ97:AQ101)</f>
        <v>-929.06508046634303</v>
      </c>
      <c r="AR102" s="87">
        <f t="shared" ref="AR102" si="242">SUM(AR97:AR101)</f>
        <v>-1068.0819215341808</v>
      </c>
      <c r="AS102" s="87">
        <f t="shared" ref="AS102" si="243">SUM(AS97:AS101)</f>
        <v>-1009.5514349191286</v>
      </c>
      <c r="AT102" s="87">
        <f t="shared" ref="AT102" si="244">SUM(AT97:AT101)</f>
        <v>-1146.7417691889159</v>
      </c>
      <c r="AU102" s="87">
        <f t="shared" ref="AU102" si="245">SUM(AU97:AU101)</f>
        <v>-1148.708228981679</v>
      </c>
      <c r="AV102" s="87">
        <f t="shared" ref="AV102" si="246">SUM(AV97:AV101)</f>
        <v>-1214.2239373248849</v>
      </c>
      <c r="AW102" s="87">
        <f t="shared" ref="AW102" si="247">SUM(AW97:AW101)</f>
        <v>-1322.125223526579</v>
      </c>
      <c r="AX102" s="87">
        <f t="shared" ref="AX102" si="248">SUM(AX97:AX101)</f>
        <v>-1388.0841551683097</v>
      </c>
      <c r="AY102" s="87">
        <f t="shared" ref="AY102" si="249">SUM(AY97:AY101)</f>
        <v>-1415.4167874790862</v>
      </c>
      <c r="AZ102" s="87">
        <f t="shared" ref="AZ102" si="250">SUM(AZ97:AZ101)</f>
        <v>-1404.3183771378835</v>
      </c>
      <c r="BA102" s="87">
        <f t="shared" ref="BA102" si="251">SUM(BA97:BA101)</f>
        <v>-1463.4132487421334</v>
      </c>
      <c r="BB102" s="87">
        <f t="shared" ref="BB102" si="252">SUM(BB97:BB101)</f>
        <v>-1448.380037006757</v>
      </c>
      <c r="BC102" s="87">
        <f t="shared" ref="BC102" si="253">SUM(BC97:BC101)</f>
        <v>-1503.9234320390419</v>
      </c>
    </row>
    <row r="104" spans="2:55" x14ac:dyDescent="0.25">
      <c r="B104" s="88" t="s">
        <v>89</v>
      </c>
      <c r="C104" s="89">
        <f>C102/C97</f>
        <v>0.88106738765386239</v>
      </c>
      <c r="D104" s="89">
        <f t="shared" ref="D104:F104" si="254">D102/D97</f>
        <v>0.57645806277804623</v>
      </c>
      <c r="E104" s="89">
        <f t="shared" si="254"/>
        <v>-0.14458310631735322</v>
      </c>
      <c r="F104" s="89">
        <f t="shared" si="254"/>
        <v>-0.24848472114826181</v>
      </c>
    </row>
    <row r="105" spans="2:55" x14ac:dyDescent="0.25">
      <c r="B105" s="88" t="s">
        <v>80</v>
      </c>
      <c r="C105" s="90">
        <f>C25</f>
        <v>7131.583333333333</v>
      </c>
      <c r="D105" s="90">
        <f t="shared" ref="D105:F105" si="255">D25</f>
        <v>8080.465757263607</v>
      </c>
      <c r="E105" s="90">
        <f t="shared" si="255"/>
        <v>8208.0854811861318</v>
      </c>
      <c r="F105" s="90">
        <f t="shared" si="255"/>
        <v>8213.7474935735281</v>
      </c>
    </row>
    <row r="107" spans="2:55" x14ac:dyDescent="0.25">
      <c r="B107" s="3" t="s">
        <v>88</v>
      </c>
      <c r="C107" s="16">
        <f>SUM(H107:S107)</f>
        <v>0</v>
      </c>
      <c r="D107" s="16">
        <f>SUM(T107:AE107)</f>
        <v>0</v>
      </c>
      <c r="E107" s="16">
        <f>SUM(AF107:AQ107)</f>
        <v>0</v>
      </c>
      <c r="F107" s="16">
        <f>SUM(AG107:AR107)</f>
        <v>0</v>
      </c>
      <c r="G107" s="64"/>
      <c r="H107" s="16">
        <f>H59*H25/1000-H97</f>
        <v>0</v>
      </c>
      <c r="I107" s="16">
        <f t="shared" ref="I107:BC107" si="256">I59*I25/1000-I97</f>
        <v>0</v>
      </c>
      <c r="J107" s="16">
        <f t="shared" si="256"/>
        <v>0</v>
      </c>
      <c r="K107" s="16">
        <f t="shared" si="256"/>
        <v>0</v>
      </c>
      <c r="L107" s="16">
        <f t="shared" si="256"/>
        <v>0</v>
      </c>
      <c r="M107" s="16">
        <f t="shared" si="256"/>
        <v>0</v>
      </c>
      <c r="N107" s="16">
        <f t="shared" si="256"/>
        <v>0</v>
      </c>
      <c r="O107" s="16">
        <f t="shared" si="256"/>
        <v>0</v>
      </c>
      <c r="P107" s="16">
        <f t="shared" si="256"/>
        <v>0</v>
      </c>
      <c r="Q107" s="16">
        <f t="shared" si="256"/>
        <v>0</v>
      </c>
      <c r="R107" s="16">
        <f t="shared" si="256"/>
        <v>0</v>
      </c>
      <c r="S107" s="16">
        <f t="shared" si="256"/>
        <v>0</v>
      </c>
      <c r="T107" s="16">
        <f t="shared" si="256"/>
        <v>0</v>
      </c>
      <c r="U107" s="16">
        <f t="shared" si="256"/>
        <v>0</v>
      </c>
      <c r="V107" s="16">
        <f t="shared" si="256"/>
        <v>0</v>
      </c>
      <c r="W107" s="16">
        <f t="shared" si="256"/>
        <v>0</v>
      </c>
      <c r="X107" s="16">
        <f t="shared" si="256"/>
        <v>0</v>
      </c>
      <c r="Y107" s="16">
        <f t="shared" si="256"/>
        <v>0</v>
      </c>
      <c r="Z107" s="16">
        <f t="shared" si="256"/>
        <v>0</v>
      </c>
      <c r="AA107" s="16">
        <f t="shared" si="256"/>
        <v>0</v>
      </c>
      <c r="AB107" s="16">
        <f t="shared" si="256"/>
        <v>0</v>
      </c>
      <c r="AC107" s="16">
        <f t="shared" si="256"/>
        <v>0</v>
      </c>
      <c r="AD107" s="16">
        <f t="shared" si="256"/>
        <v>0</v>
      </c>
      <c r="AE107" s="16">
        <f t="shared" si="256"/>
        <v>0</v>
      </c>
      <c r="AF107" s="16">
        <f t="shared" si="256"/>
        <v>0</v>
      </c>
      <c r="AG107" s="16">
        <f t="shared" si="256"/>
        <v>0</v>
      </c>
      <c r="AH107" s="16">
        <f t="shared" si="256"/>
        <v>0</v>
      </c>
      <c r="AI107" s="16">
        <f t="shared" si="256"/>
        <v>0</v>
      </c>
      <c r="AJ107" s="16">
        <f t="shared" si="256"/>
        <v>0</v>
      </c>
      <c r="AK107" s="16">
        <f t="shared" si="256"/>
        <v>0</v>
      </c>
      <c r="AL107" s="16">
        <f t="shared" si="256"/>
        <v>0</v>
      </c>
      <c r="AM107" s="16">
        <f t="shared" si="256"/>
        <v>0</v>
      </c>
      <c r="AN107" s="16">
        <f t="shared" si="256"/>
        <v>0</v>
      </c>
      <c r="AO107" s="16">
        <f t="shared" si="256"/>
        <v>0</v>
      </c>
      <c r="AP107" s="16">
        <f t="shared" si="256"/>
        <v>0</v>
      </c>
      <c r="AQ107" s="16">
        <f t="shared" si="256"/>
        <v>0</v>
      </c>
      <c r="AR107" s="16">
        <f t="shared" si="256"/>
        <v>0</v>
      </c>
      <c r="AS107" s="16">
        <f t="shared" si="256"/>
        <v>0</v>
      </c>
      <c r="AT107" s="16">
        <f t="shared" si="256"/>
        <v>0</v>
      </c>
      <c r="AU107" s="16">
        <f t="shared" si="256"/>
        <v>0</v>
      </c>
      <c r="AV107" s="16">
        <f t="shared" si="256"/>
        <v>0</v>
      </c>
      <c r="AW107" s="16">
        <f t="shared" si="256"/>
        <v>0</v>
      </c>
      <c r="AX107" s="16">
        <f t="shared" si="256"/>
        <v>0</v>
      </c>
      <c r="AY107" s="16">
        <f t="shared" si="256"/>
        <v>0</v>
      </c>
      <c r="AZ107" s="16">
        <f t="shared" si="256"/>
        <v>0</v>
      </c>
      <c r="BA107" s="16">
        <f t="shared" si="256"/>
        <v>0</v>
      </c>
      <c r="BB107" s="16">
        <f t="shared" si="256"/>
        <v>0</v>
      </c>
      <c r="BC107" s="16">
        <f t="shared" si="256"/>
        <v>0</v>
      </c>
    </row>
  </sheetData>
  <pageMargins left="0.7" right="0.7" top="0.75" bottom="0.75" header="0.3" footer="0.3"/>
  <ignoredErrors>
    <ignoredError sqref="C38:F39 C43:F44" formulaRange="1"/>
  </ignoredError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3540F-B0A3-489C-98A9-23CB98386C8E}">
  <dimension ref="B2:G91"/>
  <sheetViews>
    <sheetView showGridLines="0" topLeftCell="A52" workbookViewId="0">
      <selection activeCell="K26" sqref="J26:K27"/>
    </sheetView>
  </sheetViews>
  <sheetFormatPr defaultRowHeight="15" outlineLevelRow="1" x14ac:dyDescent="0.25"/>
  <cols>
    <col min="1" max="1" width="3.140625" customWidth="1"/>
    <col min="2" max="2" width="25.140625" customWidth="1"/>
    <col min="3" max="3" width="11" customWidth="1"/>
    <col min="4" max="4" width="12.42578125" bestFit="1" customWidth="1"/>
    <col min="5" max="6" width="10.85546875" bestFit="1" customWidth="1"/>
  </cols>
  <sheetData>
    <row r="2" spans="2:6" x14ac:dyDescent="0.25">
      <c r="B2" s="41" t="s">
        <v>1</v>
      </c>
      <c r="C2" s="132" t="s">
        <v>23</v>
      </c>
      <c r="D2" s="132" t="s">
        <v>24</v>
      </c>
      <c r="E2" s="132" t="s">
        <v>25</v>
      </c>
      <c r="F2" s="132" t="s">
        <v>64</v>
      </c>
    </row>
    <row r="3" spans="2:6" x14ac:dyDescent="0.25">
      <c r="B3" s="55"/>
      <c r="C3" s="133" t="s">
        <v>11</v>
      </c>
      <c r="D3" s="133" t="s">
        <v>2</v>
      </c>
      <c r="E3" s="133" t="s">
        <v>2</v>
      </c>
      <c r="F3" s="133" t="s">
        <v>2</v>
      </c>
    </row>
    <row r="4" spans="2:6" x14ac:dyDescent="0.25">
      <c r="C4" s="12"/>
      <c r="D4" s="12"/>
      <c r="E4" s="12"/>
      <c r="F4" s="12"/>
    </row>
    <row r="5" spans="2:6" x14ac:dyDescent="0.25">
      <c r="B5" s="130" t="s">
        <v>39</v>
      </c>
      <c r="C5" s="130"/>
      <c r="D5" s="131"/>
      <c r="E5" s="131"/>
      <c r="F5" s="131"/>
    </row>
    <row r="6" spans="2:6" x14ac:dyDescent="0.25">
      <c r="B6" s="124" t="s">
        <v>101</v>
      </c>
      <c r="C6" s="138" t="str">
        <f>IF(C39=C91,"OK","ERROR")</f>
        <v>OK</v>
      </c>
      <c r="D6" s="138" t="str">
        <f t="shared" ref="D6:F6" si="0">IF(D39=D91,"OK","ERROR")</f>
        <v>OK</v>
      </c>
      <c r="E6" s="138" t="str">
        <f t="shared" si="0"/>
        <v>OK</v>
      </c>
      <c r="F6" s="138" t="str">
        <f t="shared" si="0"/>
        <v>OK</v>
      </c>
    </row>
    <row r="8" spans="2:6" x14ac:dyDescent="0.25">
      <c r="B8" s="1" t="s">
        <v>3</v>
      </c>
      <c r="C8" s="1"/>
    </row>
    <row r="9" spans="2:6" x14ac:dyDescent="0.25">
      <c r="B9" s="2" t="s">
        <v>4</v>
      </c>
      <c r="C9" s="5">
        <f>'Miner Model'!C97</f>
        <v>11629.980000000001</v>
      </c>
      <c r="D9" s="5">
        <f>'Miner Model'!D97</f>
        <v>18020.888869855167</v>
      </c>
      <c r="E9" s="5">
        <f>'Miner Model'!E97</f>
        <v>9450.4973991239276</v>
      </c>
      <c r="F9" s="5">
        <f>'Miner Model'!F97</f>
        <v>8820.8536445187874</v>
      </c>
    </row>
    <row r="10" spans="2:6" x14ac:dyDescent="0.25">
      <c r="B10" s="19" t="s">
        <v>6</v>
      </c>
      <c r="C10" s="92">
        <f>SUM(C9)</f>
        <v>11629.980000000001</v>
      </c>
      <c r="D10" s="92">
        <f t="shared" ref="D10:F10" si="1">SUM(D9)</f>
        <v>18020.888869855167</v>
      </c>
      <c r="E10" s="92">
        <f t="shared" si="1"/>
        <v>9450.4973991239276</v>
      </c>
      <c r="F10" s="92">
        <f t="shared" si="1"/>
        <v>8820.8536445187874</v>
      </c>
    </row>
    <row r="11" spans="2:6" x14ac:dyDescent="0.25">
      <c r="B11" s="1" t="s">
        <v>5</v>
      </c>
      <c r="C11" s="1"/>
    </row>
    <row r="12" spans="2:6" x14ac:dyDescent="0.25">
      <c r="B12" s="2" t="s">
        <v>27</v>
      </c>
      <c r="C12" s="5">
        <f>-'Miner Model'!C77</f>
        <v>-1315.1205696000002</v>
      </c>
      <c r="D12" s="5">
        <f>-'Miner Model'!D77</f>
        <v>-7294.4221824000006</v>
      </c>
      <c r="E12" s="5">
        <f>-'Miner Model'!E77</f>
        <v>-10339.866336000003</v>
      </c>
      <c r="F12" s="5">
        <f>-'Miner Model'!F77</f>
        <v>-10527.354336</v>
      </c>
    </row>
    <row r="13" spans="2:6" x14ac:dyDescent="0.25">
      <c r="B13" s="17" t="s">
        <v>9</v>
      </c>
      <c r="C13" s="20">
        <f>-'Miner Model'!C86</f>
        <v>-68.063333333333333</v>
      </c>
      <c r="D13" s="20">
        <f>-'Miner Model'!D86</f>
        <v>-338.17999999999995</v>
      </c>
      <c r="E13" s="20">
        <f>-'Miner Model'!E86</f>
        <v>-477.01333333333332</v>
      </c>
      <c r="F13" s="20">
        <f>-'Miner Model'!F86</f>
        <v>-485.34666666666664</v>
      </c>
    </row>
    <row r="14" spans="2:6" x14ac:dyDescent="0.25">
      <c r="B14" s="21" t="s">
        <v>34</v>
      </c>
      <c r="C14" s="92">
        <f>SUM(C12:C13,C10)</f>
        <v>10246.796097066668</v>
      </c>
      <c r="D14" s="92">
        <f t="shared" ref="D14:F14" si="2">SUM(D12:D13,D10)</f>
        <v>10388.286687455166</v>
      </c>
      <c r="E14" s="92">
        <f t="shared" si="2"/>
        <v>-1366.3822702094076</v>
      </c>
      <c r="F14" s="92">
        <f t="shared" si="2"/>
        <v>-2191.8473581478793</v>
      </c>
    </row>
    <row r="15" spans="2:6" x14ac:dyDescent="0.25">
      <c r="B15" s="1" t="s">
        <v>37</v>
      </c>
      <c r="C15" s="1"/>
    </row>
    <row r="16" spans="2:6" hidden="1" outlineLevel="1" x14ac:dyDescent="0.25">
      <c r="B16" s="22" t="s">
        <v>35</v>
      </c>
      <c r="C16" s="22"/>
      <c r="D16" s="14"/>
      <c r="E16" s="14"/>
      <c r="F16" s="14"/>
    </row>
    <row r="17" spans="2:7" hidden="1" outlineLevel="1" x14ac:dyDescent="0.25">
      <c r="B17" s="93" t="s">
        <v>28</v>
      </c>
      <c r="C17" s="101">
        <v>-375</v>
      </c>
      <c r="D17" s="94">
        <f t="shared" ref="D17:F21" si="3">C17*(1+exp_growth)</f>
        <v>-386.25</v>
      </c>
      <c r="E17" s="94">
        <f t="shared" si="3"/>
        <v>-397.83750000000003</v>
      </c>
      <c r="F17" s="95">
        <f t="shared" si="3"/>
        <v>-409.77262500000006</v>
      </c>
    </row>
    <row r="18" spans="2:7" hidden="1" outlineLevel="1" x14ac:dyDescent="0.25">
      <c r="B18" s="96" t="s">
        <v>30</v>
      </c>
      <c r="C18" s="102">
        <v>-250</v>
      </c>
      <c r="D18" s="15">
        <f t="shared" si="3"/>
        <v>-257.5</v>
      </c>
      <c r="E18" s="15">
        <f t="shared" si="3"/>
        <v>-265.22500000000002</v>
      </c>
      <c r="F18" s="97">
        <f t="shared" si="3"/>
        <v>-273.18175000000002</v>
      </c>
    </row>
    <row r="19" spans="2:7" hidden="1" outlineLevel="1" x14ac:dyDescent="0.25">
      <c r="B19" s="96" t="s">
        <v>31</v>
      </c>
      <c r="C19" s="102">
        <v>-300</v>
      </c>
      <c r="D19" s="15">
        <f t="shared" si="3"/>
        <v>-309</v>
      </c>
      <c r="E19" s="15">
        <f t="shared" si="3"/>
        <v>-318.27</v>
      </c>
      <c r="F19" s="97">
        <f t="shared" si="3"/>
        <v>-327.81810000000002</v>
      </c>
    </row>
    <row r="20" spans="2:7" hidden="1" outlineLevel="1" x14ac:dyDescent="0.25">
      <c r="B20" s="96" t="s">
        <v>32</v>
      </c>
      <c r="C20" s="102">
        <v>-200</v>
      </c>
      <c r="D20" s="15">
        <f t="shared" si="3"/>
        <v>-206</v>
      </c>
      <c r="E20" s="15">
        <f t="shared" si="3"/>
        <v>-212.18</v>
      </c>
      <c r="F20" s="97">
        <f t="shared" si="3"/>
        <v>-218.5454</v>
      </c>
    </row>
    <row r="21" spans="2:7" hidden="1" outlineLevel="1" x14ac:dyDescent="0.25">
      <c r="B21" s="98" t="s">
        <v>33</v>
      </c>
      <c r="C21" s="103">
        <v>-200</v>
      </c>
      <c r="D21" s="99">
        <f t="shared" si="3"/>
        <v>-206</v>
      </c>
      <c r="E21" s="99">
        <f t="shared" si="3"/>
        <v>-212.18</v>
      </c>
      <c r="F21" s="100">
        <f t="shared" si="3"/>
        <v>-218.5454</v>
      </c>
    </row>
    <row r="22" spans="2:7" collapsed="1" x14ac:dyDescent="0.25">
      <c r="B22" s="2" t="s">
        <v>7</v>
      </c>
      <c r="C22" s="40">
        <f>SUM(C17:C21)</f>
        <v>-1325</v>
      </c>
      <c r="D22" s="40">
        <f>SUM(D17:D21)</f>
        <v>-1364.75</v>
      </c>
      <c r="E22" s="40">
        <f>SUM(E17:E21)</f>
        <v>-1405.6925000000001</v>
      </c>
      <c r="F22" s="40">
        <f>SUM(F17:F21)</f>
        <v>-1447.8632749999999</v>
      </c>
      <c r="G22" s="2"/>
    </row>
    <row r="23" spans="2:7" x14ac:dyDescent="0.25">
      <c r="B23" s="2" t="s">
        <v>91</v>
      </c>
      <c r="C23" s="73">
        <v>-50</v>
      </c>
      <c r="D23" s="5">
        <v>-50</v>
      </c>
      <c r="E23" s="5">
        <v>-50</v>
      </c>
      <c r="F23" s="5">
        <v>-50</v>
      </c>
    </row>
    <row r="24" spans="2:7" x14ac:dyDescent="0.25">
      <c r="B24" s="2" t="s">
        <v>29</v>
      </c>
      <c r="C24" s="73">
        <v>-300</v>
      </c>
      <c r="D24" s="5">
        <v>-300</v>
      </c>
      <c r="E24" s="5">
        <v>-300</v>
      </c>
      <c r="F24" s="5">
        <v>-300</v>
      </c>
    </row>
    <row r="25" spans="2:7" x14ac:dyDescent="0.25">
      <c r="B25" s="24" t="s">
        <v>36</v>
      </c>
      <c r="C25" s="104">
        <f>SUM(C22:C24)</f>
        <v>-1675</v>
      </c>
      <c r="D25" s="104">
        <f t="shared" ref="D25:F25" si="4">SUM(D22:D24)</f>
        <v>-1714.75</v>
      </c>
      <c r="E25" s="104">
        <f t="shared" si="4"/>
        <v>-1755.6925000000001</v>
      </c>
      <c r="F25" s="104">
        <f t="shared" si="4"/>
        <v>-1797.8632749999999</v>
      </c>
    </row>
    <row r="26" spans="2:7" ht="15.75" thickBot="1" x14ac:dyDescent="0.3">
      <c r="B26" s="2" t="s">
        <v>8</v>
      </c>
      <c r="C26" s="85">
        <f>C66</f>
        <v>0</v>
      </c>
      <c r="D26" s="85">
        <f t="shared" ref="D26:F26" si="5">D66</f>
        <v>-4206.3</v>
      </c>
      <c r="E26" s="85">
        <f t="shared" si="5"/>
        <v>-9663.15</v>
      </c>
      <c r="F26" s="85">
        <f t="shared" si="5"/>
        <v>-10081.575000000001</v>
      </c>
    </row>
    <row r="27" spans="2:7" ht="16.5" thickTop="1" thickBot="1" x14ac:dyDescent="0.3">
      <c r="B27" s="26" t="s">
        <v>38</v>
      </c>
      <c r="C27" s="27">
        <f>SUM(C14,C25:C26)</f>
        <v>8571.7960970666682</v>
      </c>
      <c r="D27" s="27">
        <f t="shared" ref="D27:F27" si="6">SUM(D14,D25:D26)</f>
        <v>4467.2366874551653</v>
      </c>
      <c r="E27" s="27">
        <f t="shared" si="6"/>
        <v>-12785.224770209406</v>
      </c>
      <c r="F27" s="28">
        <f t="shared" si="6"/>
        <v>-14071.28563314788</v>
      </c>
    </row>
    <row r="28" spans="2:7" ht="15.75" thickTop="1" x14ac:dyDescent="0.25">
      <c r="B28" s="2"/>
      <c r="C28" s="2"/>
    </row>
    <row r="29" spans="2:7" x14ac:dyDescent="0.25">
      <c r="B29" s="30" t="s">
        <v>42</v>
      </c>
      <c r="C29" s="39"/>
      <c r="D29" s="31"/>
      <c r="E29" s="31"/>
      <c r="F29" s="32"/>
    </row>
    <row r="30" spans="2:7" x14ac:dyDescent="0.25">
      <c r="B30" s="33" t="s">
        <v>40</v>
      </c>
      <c r="C30" s="34">
        <f>C14/C10</f>
        <v>0.88106738765386239</v>
      </c>
      <c r="D30" s="34">
        <f>D14/D10</f>
        <v>0.57645806277804623</v>
      </c>
      <c r="E30" s="34">
        <f>E14/E10</f>
        <v>-0.14458310631735349</v>
      </c>
      <c r="F30" s="35">
        <f>F14/F10</f>
        <v>-0.24848472114826176</v>
      </c>
    </row>
    <row r="31" spans="2:7" x14ac:dyDescent="0.25">
      <c r="B31" s="33" t="s">
        <v>41</v>
      </c>
      <c r="C31" s="34">
        <f>C27/C10</f>
        <v>0.73704306431022815</v>
      </c>
      <c r="D31" s="34">
        <f>D27/D10</f>
        <v>0.24789213893482426</v>
      </c>
      <c r="E31" s="34">
        <f>E27/E10</f>
        <v>-1.3528626304256337</v>
      </c>
      <c r="F31" s="35">
        <f>F27/F10</f>
        <v>-1.5952294642017637</v>
      </c>
    </row>
    <row r="32" spans="2:7" x14ac:dyDescent="0.25">
      <c r="B32" s="36" t="s">
        <v>43</v>
      </c>
      <c r="C32" s="105">
        <f>'Miner Model'!C10</f>
        <v>7131.583333333333</v>
      </c>
      <c r="D32" s="37">
        <f>'Miner Model'!D10</f>
        <v>8080.465757263607</v>
      </c>
      <c r="E32" s="37">
        <f>'Miner Model'!E10</f>
        <v>8208.0854811861318</v>
      </c>
      <c r="F32" s="38">
        <f>'Miner Model'!F10</f>
        <v>8213.7474935735281</v>
      </c>
    </row>
    <row r="34" spans="2:6" x14ac:dyDescent="0.25">
      <c r="B34" s="29" t="s">
        <v>92</v>
      </c>
      <c r="C34" s="106">
        <f>C14-'Miner Model'!C102</f>
        <v>0</v>
      </c>
      <c r="D34" s="106">
        <f>D14-'Miner Model'!D102</f>
        <v>0</v>
      </c>
      <c r="E34" s="106">
        <f>E14-'Miner Model'!E102</f>
        <v>-2.7284841053187847E-12</v>
      </c>
      <c r="F34" s="106">
        <f>F14-'Miner Model'!F102</f>
        <v>0</v>
      </c>
    </row>
    <row r="36" spans="2:6" x14ac:dyDescent="0.25">
      <c r="B36" s="130" t="s">
        <v>44</v>
      </c>
      <c r="C36" s="130"/>
      <c r="D36" s="131"/>
      <c r="E36" s="131"/>
      <c r="F36" s="131"/>
    </row>
    <row r="38" spans="2:6" x14ac:dyDescent="0.25">
      <c r="B38" s="1" t="s">
        <v>47</v>
      </c>
    </row>
    <row r="39" spans="2:6" x14ac:dyDescent="0.25">
      <c r="B39" s="2" t="s">
        <v>45</v>
      </c>
      <c r="C39" s="23">
        <f>C91</f>
        <v>12659.196097066668</v>
      </c>
      <c r="D39" s="23">
        <f>D91</f>
        <v>6218.7327845218333</v>
      </c>
      <c r="E39" s="23">
        <f>E91</f>
        <v>-7397.1619856875732</v>
      </c>
      <c r="F39" s="23">
        <f>F91</f>
        <v>-18380.507218835453</v>
      </c>
    </row>
    <row r="41" spans="2:6" x14ac:dyDescent="0.25">
      <c r="B41" s="1" t="s">
        <v>46</v>
      </c>
    </row>
    <row r="42" spans="2:6" x14ac:dyDescent="0.25">
      <c r="B42" s="2" t="s">
        <v>50</v>
      </c>
      <c r="C42" s="40">
        <f>C67</f>
        <v>8412.6</v>
      </c>
      <c r="D42" s="40">
        <f>D67</f>
        <v>19326.3</v>
      </c>
      <c r="E42" s="40">
        <f>E67</f>
        <v>20163.150000000001</v>
      </c>
      <c r="F42" s="40">
        <f>F67</f>
        <v>17081.575000000001</v>
      </c>
    </row>
    <row r="43" spans="2:6" x14ac:dyDescent="0.25">
      <c r="B43" s="2" t="s">
        <v>51</v>
      </c>
      <c r="C43">
        <v>600</v>
      </c>
      <c r="D43">
        <v>600</v>
      </c>
      <c r="E43">
        <f>D43</f>
        <v>600</v>
      </c>
      <c r="F43">
        <f>E43</f>
        <v>600</v>
      </c>
    </row>
    <row r="44" spans="2:6" x14ac:dyDescent="0.25">
      <c r="B44" s="2" t="s">
        <v>33</v>
      </c>
      <c r="C44">
        <v>300</v>
      </c>
      <c r="D44">
        <v>300</v>
      </c>
      <c r="E44">
        <f>D44*(1+exp_growth)</f>
        <v>309</v>
      </c>
      <c r="F44" s="5">
        <f>E44*(1+exp_growth)</f>
        <v>318.27</v>
      </c>
    </row>
    <row r="46" spans="2:6" x14ac:dyDescent="0.25">
      <c r="B46" s="119" t="s">
        <v>102</v>
      </c>
      <c r="C46" s="116">
        <f>SUM(C39:C44)</f>
        <v>21971.796097066668</v>
      </c>
      <c r="D46" s="116">
        <f t="shared" ref="D46:F46" si="7">SUM(D39:D44)</f>
        <v>26445.032784521834</v>
      </c>
      <c r="E46" s="116">
        <f t="shared" si="7"/>
        <v>13674.988014312428</v>
      </c>
      <c r="F46" s="116">
        <f t="shared" si="7"/>
        <v>-380.66221883545268</v>
      </c>
    </row>
    <row r="48" spans="2:6" x14ac:dyDescent="0.25">
      <c r="B48" s="1" t="s">
        <v>48</v>
      </c>
    </row>
    <row r="49" spans="2:6" x14ac:dyDescent="0.25">
      <c r="B49" s="2" t="s">
        <v>49</v>
      </c>
      <c r="C49" s="118">
        <v>-200</v>
      </c>
      <c r="D49">
        <f>C49*(1+exp_growth)</f>
        <v>-206</v>
      </c>
      <c r="E49" s="5">
        <f>D49*(1+exp_growth)</f>
        <v>-212.18</v>
      </c>
      <c r="F49" s="5">
        <f>E49*(1+exp_growth)</f>
        <v>-218.5454</v>
      </c>
    </row>
    <row r="51" spans="2:6" x14ac:dyDescent="0.25">
      <c r="B51" s="120" t="s">
        <v>103</v>
      </c>
      <c r="C51" s="121">
        <f>SUM(C46:C49)</f>
        <v>21771.796097066668</v>
      </c>
      <c r="D51" s="121">
        <f t="shared" ref="D51:F51" si="8">SUM(D46:D49)</f>
        <v>26239.032784521834</v>
      </c>
      <c r="E51" s="121">
        <f t="shared" si="8"/>
        <v>13462.808014312428</v>
      </c>
      <c r="F51" s="121">
        <f t="shared" si="8"/>
        <v>-599.20761883545265</v>
      </c>
    </row>
    <row r="53" spans="2:6" x14ac:dyDescent="0.25">
      <c r="B53" s="1" t="s">
        <v>104</v>
      </c>
    </row>
    <row r="54" spans="2:6" x14ac:dyDescent="0.25">
      <c r="B54" t="s">
        <v>105</v>
      </c>
      <c r="C54" s="23">
        <f>21772-C27</f>
        <v>13200.203902933332</v>
      </c>
      <c r="D54" s="23">
        <f>C54</f>
        <v>13200.203902933332</v>
      </c>
      <c r="E54" s="23">
        <f t="shared" ref="E54:F54" si="9">D54</f>
        <v>13200.203902933332</v>
      </c>
      <c r="F54" s="23">
        <f t="shared" si="9"/>
        <v>13200.203902933332</v>
      </c>
    </row>
    <row r="55" spans="2:6" x14ac:dyDescent="0.25">
      <c r="B55" t="s">
        <v>106</v>
      </c>
      <c r="C55" s="23">
        <f>0+C27</f>
        <v>8571.7960970666682</v>
      </c>
      <c r="D55" s="23">
        <f>C55+D27</f>
        <v>13039.032784521834</v>
      </c>
      <c r="E55" s="23">
        <f t="shared" ref="E55:F55" si="10">D55+E27</f>
        <v>253.80801431242799</v>
      </c>
      <c r="F55" s="23">
        <f t="shared" si="10"/>
        <v>-13817.477618835452</v>
      </c>
    </row>
    <row r="56" spans="2:6" x14ac:dyDescent="0.25">
      <c r="B56" s="119" t="s">
        <v>107</v>
      </c>
      <c r="C56" s="116">
        <f>SUM(C54:C55)</f>
        <v>21772</v>
      </c>
      <c r="D56" s="116">
        <f t="shared" ref="D56:F56" si="11">SUM(D54:D55)</f>
        <v>26239.236687455166</v>
      </c>
      <c r="E56" s="116">
        <f t="shared" si="11"/>
        <v>13454.01191724576</v>
      </c>
      <c r="F56" s="116">
        <f t="shared" si="11"/>
        <v>-617.27371590211987</v>
      </c>
    </row>
    <row r="58" spans="2:6" x14ac:dyDescent="0.25">
      <c r="B58" s="122" t="s">
        <v>108</v>
      </c>
      <c r="C58" s="122">
        <f>C51-C56</f>
        <v>-0.20390293333184673</v>
      </c>
      <c r="D58" s="122">
        <f t="shared" ref="D58" si="12">D51-D56</f>
        <v>-0.20390293333184673</v>
      </c>
      <c r="E58" s="122">
        <f>E51-E56-9</f>
        <v>-0.20390293333184673</v>
      </c>
      <c r="F58" s="122">
        <f>F51-F56-18</f>
        <v>6.609706666722559E-2</v>
      </c>
    </row>
    <row r="60" spans="2:6" x14ac:dyDescent="0.25">
      <c r="B60" s="130" t="s">
        <v>55</v>
      </c>
      <c r="C60" s="130"/>
      <c r="D60" s="131"/>
      <c r="E60" s="131"/>
      <c r="F60" s="131"/>
    </row>
    <row r="62" spans="2:6" x14ac:dyDescent="0.25">
      <c r="B62" s="1" t="s">
        <v>58</v>
      </c>
    </row>
    <row r="63" spans="2:6" x14ac:dyDescent="0.25">
      <c r="B63" t="s">
        <v>56</v>
      </c>
      <c r="C63" s="110">
        <v>0</v>
      </c>
      <c r="D63" s="23">
        <f>C67</f>
        <v>8412.6</v>
      </c>
      <c r="E63" s="23">
        <f>D67</f>
        <v>19326.3</v>
      </c>
      <c r="F63" s="23">
        <f>E67</f>
        <v>20163.150000000001</v>
      </c>
    </row>
    <row r="64" spans="2:6" x14ac:dyDescent="0.25">
      <c r="B64" s="2" t="s">
        <v>15</v>
      </c>
      <c r="C64" s="40">
        <f>Assumptions!$C$9*'Miner Model'!C39/1000</f>
        <v>8412.6</v>
      </c>
      <c r="D64" s="40">
        <f>Assumptions!$C$9*'Miner Model'!D39/1000</f>
        <v>15120</v>
      </c>
      <c r="E64" s="40">
        <f>Assumptions!$C$9*'Miner Model'!E39/1000</f>
        <v>10500</v>
      </c>
      <c r="F64" s="40">
        <f>Assumptions!$C$9*'Miner Model'!F39/1000</f>
        <v>7000</v>
      </c>
    </row>
    <row r="65" spans="2:6" x14ac:dyDescent="0.25">
      <c r="B65" s="2" t="s">
        <v>16</v>
      </c>
      <c r="C65">
        <v>0</v>
      </c>
      <c r="D65" s="5">
        <v>0</v>
      </c>
      <c r="E65" s="5">
        <v>0</v>
      </c>
      <c r="F65" s="5">
        <v>0</v>
      </c>
    </row>
    <row r="66" spans="2:6" x14ac:dyDescent="0.25">
      <c r="B66" s="17" t="s">
        <v>8</v>
      </c>
      <c r="C66" s="18">
        <v>0</v>
      </c>
      <c r="D66" s="109">
        <f>-C67*dv</f>
        <v>-4206.3</v>
      </c>
      <c r="E66" s="109">
        <f>-D67*dv</f>
        <v>-9663.15</v>
      </c>
      <c r="F66" s="109">
        <f>-E67*dv</f>
        <v>-10081.575000000001</v>
      </c>
    </row>
    <row r="67" spans="2:6" x14ac:dyDescent="0.25">
      <c r="B67" s="66" t="s">
        <v>57</v>
      </c>
      <c r="C67" s="107">
        <f>SUM(C63:C66)</f>
        <v>8412.6</v>
      </c>
      <c r="D67" s="108">
        <f>SUM(D63:D66)</f>
        <v>19326.3</v>
      </c>
      <c r="E67" s="108">
        <f>SUM(E63:E66)</f>
        <v>20163.150000000001</v>
      </c>
      <c r="F67" s="108">
        <f>SUM(F63:F66)</f>
        <v>17081.575000000001</v>
      </c>
    </row>
    <row r="69" spans="2:6" x14ac:dyDescent="0.25">
      <c r="B69" s="130" t="s">
        <v>62</v>
      </c>
      <c r="C69" s="130"/>
      <c r="D69" s="131"/>
      <c r="E69" s="131"/>
      <c r="F69" s="131"/>
    </row>
    <row r="71" spans="2:6" x14ac:dyDescent="0.25">
      <c r="B71" s="1" t="s">
        <v>94</v>
      </c>
    </row>
    <row r="72" spans="2:6" x14ac:dyDescent="0.25">
      <c r="B72" t="s">
        <v>38</v>
      </c>
      <c r="C72" s="23">
        <f>C27</f>
        <v>8571.7960970666682</v>
      </c>
      <c r="D72" s="23">
        <f>D27</f>
        <v>4467.2366874551653</v>
      </c>
      <c r="E72" s="23">
        <f t="shared" ref="E72:F72" si="13">E27</f>
        <v>-12785.224770209406</v>
      </c>
      <c r="F72" s="23">
        <f t="shared" si="13"/>
        <v>-14071.28563314788</v>
      </c>
    </row>
    <row r="73" spans="2:6" x14ac:dyDescent="0.25">
      <c r="B73" t="s">
        <v>8</v>
      </c>
      <c r="C73" s="23">
        <f>-C26</f>
        <v>0</v>
      </c>
      <c r="D73" s="23">
        <f t="shared" ref="D73:F73" si="14">-D26</f>
        <v>4206.3</v>
      </c>
      <c r="E73" s="23">
        <f t="shared" si="14"/>
        <v>9663.15</v>
      </c>
      <c r="F73" s="23">
        <f t="shared" si="14"/>
        <v>10081.575000000001</v>
      </c>
    </row>
    <row r="74" spans="2:6" x14ac:dyDescent="0.25">
      <c r="B74" t="s">
        <v>60</v>
      </c>
    </row>
    <row r="75" spans="2:6" x14ac:dyDescent="0.25">
      <c r="B75" s="111" t="s">
        <v>49</v>
      </c>
      <c r="C75" s="112">
        <v>0</v>
      </c>
      <c r="D75" s="112">
        <f>C49-D49</f>
        <v>6</v>
      </c>
      <c r="E75" s="112">
        <f>D49-E49</f>
        <v>6.1800000000000068</v>
      </c>
      <c r="F75" s="113">
        <f>E49-F49</f>
        <v>6.365399999999994</v>
      </c>
    </row>
    <row r="76" spans="2:6" x14ac:dyDescent="0.25">
      <c r="B76" s="114" t="s">
        <v>93</v>
      </c>
      <c r="C76" s="115">
        <f>SUM(C72:C75)</f>
        <v>8571.7960970666682</v>
      </c>
      <c r="D76" s="115">
        <f t="shared" ref="D76:F76" si="15">SUM(D72:D75)</f>
        <v>8679.5366874551655</v>
      </c>
      <c r="E76" s="115">
        <f t="shared" si="15"/>
        <v>-3115.8947702094069</v>
      </c>
      <c r="F76" s="115">
        <f t="shared" si="15"/>
        <v>-3983.3452331478788</v>
      </c>
    </row>
    <row r="78" spans="2:6" x14ac:dyDescent="0.25">
      <c r="B78" s="1" t="s">
        <v>95</v>
      </c>
    </row>
    <row r="79" spans="2:6" x14ac:dyDescent="0.25">
      <c r="B79" t="s">
        <v>52</v>
      </c>
      <c r="C79" s="23">
        <f>-C64</f>
        <v>-8412.6</v>
      </c>
      <c r="D79" s="23">
        <f t="shared" ref="D79:F79" si="16">-D64</f>
        <v>-15120</v>
      </c>
      <c r="E79" s="23">
        <f t="shared" si="16"/>
        <v>-10500</v>
      </c>
      <c r="F79" s="23">
        <f t="shared" si="16"/>
        <v>-7000</v>
      </c>
    </row>
    <row r="80" spans="2:6" x14ac:dyDescent="0.25">
      <c r="B80" t="s">
        <v>16</v>
      </c>
      <c r="C80">
        <f>C65</f>
        <v>0</v>
      </c>
      <c r="D80">
        <f t="shared" ref="D80:F80" si="17">D65</f>
        <v>0</v>
      </c>
      <c r="E80">
        <f t="shared" si="17"/>
        <v>0</v>
      </c>
      <c r="F80">
        <f t="shared" si="17"/>
        <v>0</v>
      </c>
    </row>
    <row r="81" spans="2:6" x14ac:dyDescent="0.25">
      <c r="B81" s="49" t="s">
        <v>97</v>
      </c>
      <c r="C81" s="116">
        <f>SUM(C77:C80)</f>
        <v>-8412.6</v>
      </c>
      <c r="D81" s="116">
        <f>SUM(D77:D80)</f>
        <v>-15120</v>
      </c>
      <c r="E81" s="116">
        <f>SUM(E77:E80)</f>
        <v>-10500</v>
      </c>
      <c r="F81" s="116">
        <f>SUM(F77:F80)</f>
        <v>-7000</v>
      </c>
    </row>
    <row r="83" spans="2:6" x14ac:dyDescent="0.25">
      <c r="B83" s="1" t="s">
        <v>96</v>
      </c>
    </row>
    <row r="84" spans="2:6" x14ac:dyDescent="0.25">
      <c r="B84" t="s">
        <v>98</v>
      </c>
      <c r="C84" s="52">
        <v>0</v>
      </c>
      <c r="D84" s="52">
        <v>0</v>
      </c>
      <c r="E84" s="52">
        <v>0</v>
      </c>
      <c r="F84" s="52">
        <v>0</v>
      </c>
    </row>
    <row r="85" spans="2:6" x14ac:dyDescent="0.25">
      <c r="B85" s="49" t="s">
        <v>99</v>
      </c>
      <c r="C85" s="116">
        <f>SUM(C84)</f>
        <v>0</v>
      </c>
      <c r="D85" s="116">
        <f>SUM(D84)</f>
        <v>0</v>
      </c>
      <c r="E85" s="116">
        <f>SUM(E84)</f>
        <v>0</v>
      </c>
      <c r="F85" s="116">
        <f>SUM(F84)</f>
        <v>0</v>
      </c>
    </row>
    <row r="87" spans="2:6" x14ac:dyDescent="0.25">
      <c r="B87" s="125" t="s">
        <v>109</v>
      </c>
      <c r="C87" s="126">
        <f>SUM(C76,C81,C85)</f>
        <v>159.19609706666779</v>
      </c>
      <c r="D87" s="126">
        <f>SUM(D76,D81,D85)</f>
        <v>-6440.4633125448345</v>
      </c>
      <c r="E87" s="126">
        <f>SUM(E76,E81,E85)</f>
        <v>-13615.894770209406</v>
      </c>
      <c r="F87" s="126">
        <f>SUM(F76,F81,F85)</f>
        <v>-10983.345233147878</v>
      </c>
    </row>
    <row r="89" spans="2:6" x14ac:dyDescent="0.25">
      <c r="B89" t="s">
        <v>61</v>
      </c>
      <c r="C89" s="110">
        <v>12500</v>
      </c>
      <c r="D89" s="23">
        <f>C91</f>
        <v>12659.196097066668</v>
      </c>
      <c r="E89" s="23">
        <f t="shared" ref="E89:F89" si="18">D91</f>
        <v>6218.7327845218333</v>
      </c>
      <c r="F89" s="23">
        <f t="shared" si="18"/>
        <v>-7397.1619856875732</v>
      </c>
    </row>
    <row r="90" spans="2:6" x14ac:dyDescent="0.25">
      <c r="B90" t="s">
        <v>100</v>
      </c>
      <c r="C90" s="123">
        <f>C87</f>
        <v>159.19609706666779</v>
      </c>
      <c r="D90" s="123">
        <f t="shared" ref="D90:F90" si="19">D87</f>
        <v>-6440.4633125448345</v>
      </c>
      <c r="E90" s="123">
        <f t="shared" si="19"/>
        <v>-13615.894770209406</v>
      </c>
      <c r="F90" s="123">
        <f t="shared" si="19"/>
        <v>-10983.345233147878</v>
      </c>
    </row>
    <row r="91" spans="2:6" x14ac:dyDescent="0.25">
      <c r="B91" s="127" t="s">
        <v>59</v>
      </c>
      <c r="C91" s="128">
        <f>SUM(C89:C90)</f>
        <v>12659.196097066668</v>
      </c>
      <c r="D91" s="126">
        <f>SUM(D89:D90)</f>
        <v>6218.7327845218333</v>
      </c>
      <c r="E91" s="126">
        <f t="shared" ref="E91:F91" si="20">SUM(E89:E90)</f>
        <v>-7397.1619856875732</v>
      </c>
      <c r="F91" s="126">
        <f t="shared" si="20"/>
        <v>-18380.507218835453</v>
      </c>
    </row>
  </sheetData>
  <phoneticPr fontId="17" type="noConversion"/>
  <pageMargins left="0.7" right="0.7" top="0.75" bottom="0.75" header="0.3" footer="0.3"/>
  <ignoredErrors>
    <ignoredError sqref="E22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DFA00-625B-4BD5-8F1C-24959AA63628}">
  <dimension ref="B2:I30"/>
  <sheetViews>
    <sheetView showGridLines="0" workbookViewId="0">
      <selection activeCell="G42" sqref="G42"/>
    </sheetView>
  </sheetViews>
  <sheetFormatPr defaultRowHeight="15" x14ac:dyDescent="0.25"/>
  <cols>
    <col min="1" max="1" width="4.42578125" customWidth="1"/>
    <col min="2" max="2" width="20.28515625" customWidth="1"/>
    <col min="3" max="3" width="15.28515625" bestFit="1" customWidth="1"/>
    <col min="4" max="4" width="12" bestFit="1" customWidth="1"/>
    <col min="5" max="5" width="9.28515625" bestFit="1" customWidth="1"/>
    <col min="6" max="6" width="9.5703125" bestFit="1" customWidth="1"/>
    <col min="7" max="7" width="11.85546875" customWidth="1"/>
  </cols>
  <sheetData>
    <row r="2" spans="2:9" x14ac:dyDescent="0.25">
      <c r="B2" s="130" t="s">
        <v>129</v>
      </c>
      <c r="C2" s="136"/>
      <c r="D2" s="136"/>
      <c r="E2" s="136"/>
      <c r="F2" s="136"/>
      <c r="G2" s="136"/>
    </row>
    <row r="4" spans="2:9" x14ac:dyDescent="0.25">
      <c r="B4" s="41" t="s">
        <v>1</v>
      </c>
      <c r="C4" s="132" t="s">
        <v>23</v>
      </c>
      <c r="D4" s="132" t="s">
        <v>24</v>
      </c>
      <c r="E4" s="132" t="s">
        <v>25</v>
      </c>
      <c r="F4" s="132" t="s">
        <v>64</v>
      </c>
      <c r="G4" s="132" t="s">
        <v>115</v>
      </c>
    </row>
    <row r="6" spans="2:9" x14ac:dyDescent="0.25">
      <c r="B6" t="s">
        <v>110</v>
      </c>
      <c r="C6" s="5">
        <f>Statements!C76-Statements!C81</f>
        <v>16984.396097066667</v>
      </c>
      <c r="D6" s="5">
        <f>Statements!D76-Statements!D81</f>
        <v>23799.536687455166</v>
      </c>
      <c r="E6" s="5">
        <f>Statements!E76-Statements!E81</f>
        <v>7384.1052297905935</v>
      </c>
      <c r="F6" s="5">
        <f>Statements!F76-Statements!F81</f>
        <v>3016.6547668521212</v>
      </c>
      <c r="G6" s="23">
        <f>F6</f>
        <v>3016.6547668521212</v>
      </c>
      <c r="I6" s="134" t="s">
        <v>116</v>
      </c>
    </row>
    <row r="8" spans="2:9" x14ac:dyDescent="0.25">
      <c r="B8" t="s">
        <v>113</v>
      </c>
      <c r="C8">
        <v>0</v>
      </c>
      <c r="D8">
        <v>1</v>
      </c>
      <c r="E8">
        <v>2</v>
      </c>
      <c r="F8">
        <v>3</v>
      </c>
      <c r="G8" s="12" t="s">
        <v>72</v>
      </c>
    </row>
    <row r="9" spans="2:9" x14ac:dyDescent="0.25">
      <c r="B9" t="s">
        <v>114</v>
      </c>
      <c r="D9" s="4">
        <f>(1+Assumptions!$C$15)^D8</f>
        <v>1.02</v>
      </c>
      <c r="E9" s="4">
        <f>(1+Assumptions!$C$15)^E8</f>
        <v>1.0404</v>
      </c>
      <c r="F9" s="4">
        <f>(1+Assumptions!$C$15)^F8</f>
        <v>1.0612079999999999</v>
      </c>
      <c r="G9" s="8">
        <f>1/(1+Assumptions!C14)</f>
        <v>0.86956521739130443</v>
      </c>
    </row>
    <row r="11" spans="2:9" x14ac:dyDescent="0.25">
      <c r="B11" t="s">
        <v>130</v>
      </c>
      <c r="D11" s="5">
        <f>D6/D9</f>
        <v>23332.879105348202</v>
      </c>
      <c r="E11" s="5">
        <f t="shared" ref="E11:G11" si="0">E6/E9</f>
        <v>7097.3714242508586</v>
      </c>
      <c r="F11" s="5">
        <f t="shared" si="0"/>
        <v>2842.6611624225611</v>
      </c>
      <c r="G11" s="5">
        <f t="shared" si="0"/>
        <v>3469.152981879939</v>
      </c>
    </row>
    <row r="14" spans="2:9" x14ac:dyDescent="0.25">
      <c r="B14" t="s">
        <v>117</v>
      </c>
      <c r="C14" s="23">
        <f>SUM(D11:G11)</f>
        <v>36742.064673901557</v>
      </c>
    </row>
    <row r="15" spans="2:9" x14ac:dyDescent="0.25">
      <c r="B15" t="s">
        <v>118</v>
      </c>
      <c r="C15">
        <v>0</v>
      </c>
    </row>
    <row r="16" spans="2:9" x14ac:dyDescent="0.25">
      <c r="B16" s="49" t="s">
        <v>119</v>
      </c>
      <c r="C16" s="116">
        <f>SUM(C14:C15)</f>
        <v>36742.064673901557</v>
      </c>
    </row>
    <row r="19" spans="2:9" x14ac:dyDescent="0.25">
      <c r="B19" t="s">
        <v>120</v>
      </c>
      <c r="C19">
        <v>0.78</v>
      </c>
      <c r="I19" s="134" t="s">
        <v>121</v>
      </c>
    </row>
    <row r="21" spans="2:9" x14ac:dyDescent="0.25">
      <c r="B21" t="s">
        <v>122</v>
      </c>
      <c r="C21" s="5">
        <f>C16*C19</f>
        <v>28658.810445643216</v>
      </c>
    </row>
    <row r="23" spans="2:9" x14ac:dyDescent="0.25">
      <c r="B23" t="s">
        <v>123</v>
      </c>
      <c r="C23" s="5">
        <v>16000</v>
      </c>
      <c r="I23" s="134" t="s">
        <v>124</v>
      </c>
    </row>
    <row r="25" spans="2:9" x14ac:dyDescent="0.25">
      <c r="B25" t="s">
        <v>125</v>
      </c>
      <c r="C25" s="5">
        <v>294000000</v>
      </c>
    </row>
    <row r="27" spans="2:9" x14ac:dyDescent="0.25">
      <c r="B27" t="s">
        <v>126</v>
      </c>
      <c r="C27" s="4">
        <f>C21*1000/C25</f>
        <v>9.7478947094024548E-2</v>
      </c>
    </row>
    <row r="28" spans="2:9" x14ac:dyDescent="0.25">
      <c r="B28" t="s">
        <v>127</v>
      </c>
      <c r="C28" s="4">
        <f>C23*1000/C25</f>
        <v>5.4421768707482991E-2</v>
      </c>
    </row>
    <row r="30" spans="2:9" x14ac:dyDescent="0.25">
      <c r="B30" s="1" t="s">
        <v>128</v>
      </c>
      <c r="C30" s="135">
        <f>(C27-C28)/C28</f>
        <v>0.79117565285270119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Driver analysis</vt:lpstr>
      <vt:lpstr>Assumptions</vt:lpstr>
      <vt:lpstr>Miner Model</vt:lpstr>
      <vt:lpstr>Statements</vt:lpstr>
      <vt:lpstr>Valuation</vt:lpstr>
      <vt:lpstr>dv</vt:lpstr>
      <vt:lpstr>exp_growth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tpearse</dc:creator>
  <cp:lastModifiedBy>tom</cp:lastModifiedBy>
  <dcterms:created xsi:type="dcterms:W3CDTF">2019-07-26T03:36:46Z</dcterms:created>
  <dcterms:modified xsi:type="dcterms:W3CDTF">2020-03-02T21:31:58Z</dcterms:modified>
</cp:coreProperties>
</file>