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ball4935_ox_ac_uk/Documents/TY_shared/cages_paper/draft_figs/fig7/"/>
    </mc:Choice>
  </mc:AlternateContent>
  <xr:revisionPtr revIDLastSave="0" documentId="8_{7E51B2CE-B8A3-0043-96D7-0253865F82FD}" xr6:coauthVersionLast="36" xr6:coauthVersionMax="36" xr10:uidLastSave="{00000000-0000-0000-0000-000000000000}"/>
  <bookViews>
    <workbookView xWindow="0" yWindow="460" windowWidth="28800" windowHeight="16540" activeTab="3" xr2:uid="{0EE194F8-91E0-D642-A542-11F1AE220803}"/>
  </bookViews>
  <sheets>
    <sheet name="pre_ts" sheetId="3" r:id="rId1"/>
    <sheet name="para-subt" sheetId="4" r:id="rId2"/>
    <sheet name="full_ts" sheetId="2" r:id="rId3"/>
    <sheet name="ts_analogues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1" l="1"/>
  <c r="K72" i="1"/>
  <c r="K70" i="1"/>
  <c r="K69" i="1"/>
  <c r="K68" i="1"/>
  <c r="K67" i="1"/>
  <c r="K66" i="1"/>
  <c r="K65" i="1"/>
  <c r="K64" i="1"/>
  <c r="P18" i="2" l="1"/>
  <c r="P17" i="2"/>
  <c r="M22" i="2" l="1"/>
  <c r="M21" i="2"/>
  <c r="L24" i="2"/>
  <c r="J24" i="2"/>
  <c r="I24" i="2"/>
  <c r="L22" i="2"/>
  <c r="L21" i="2"/>
  <c r="I22" i="2"/>
  <c r="I21" i="2"/>
  <c r="H14" i="4" l="1"/>
  <c r="H13" i="4"/>
  <c r="H12" i="4"/>
  <c r="H4" i="4"/>
  <c r="I35" i="2"/>
  <c r="I36" i="2"/>
  <c r="I38" i="2"/>
  <c r="I39" i="2"/>
  <c r="I40" i="2"/>
  <c r="I41" i="2"/>
  <c r="I42" i="2"/>
  <c r="I32" i="2"/>
  <c r="I33" i="2"/>
  <c r="I34" i="2" l="1"/>
  <c r="H52" i="1" l="1"/>
  <c r="H16" i="3" l="1"/>
  <c r="I16" i="3"/>
  <c r="H17" i="3"/>
  <c r="I17" i="3"/>
  <c r="H18" i="3"/>
  <c r="I18" i="3"/>
  <c r="H19" i="3"/>
  <c r="I19" i="3"/>
  <c r="H20" i="3"/>
  <c r="I20" i="3"/>
  <c r="H21" i="3"/>
  <c r="I21" i="3"/>
  <c r="G17" i="3"/>
  <c r="G18" i="3"/>
  <c r="G19" i="3"/>
  <c r="G20" i="3"/>
  <c r="G21" i="3"/>
  <c r="H4" i="3"/>
  <c r="G16" i="3"/>
  <c r="F17" i="3"/>
  <c r="F18" i="3"/>
  <c r="F19" i="3"/>
  <c r="F20" i="3"/>
  <c r="F21" i="3"/>
  <c r="E17" i="3"/>
  <c r="E18" i="3"/>
  <c r="E19" i="3"/>
  <c r="E20" i="3"/>
  <c r="E21" i="3"/>
  <c r="D17" i="3"/>
  <c r="D18" i="3"/>
  <c r="D19" i="3"/>
  <c r="D20" i="3"/>
  <c r="D21" i="3"/>
  <c r="F16" i="3"/>
  <c r="E16" i="3"/>
  <c r="E4" i="3"/>
  <c r="D16" i="3"/>
  <c r="G52" i="1" l="1"/>
  <c r="G67" i="1" l="1"/>
  <c r="I73" i="1" l="1"/>
  <c r="I72" i="1"/>
  <c r="I70" i="1"/>
  <c r="I69" i="1"/>
  <c r="I68" i="1"/>
  <c r="I67" i="1"/>
  <c r="I66" i="1"/>
  <c r="I65" i="1"/>
  <c r="I64" i="1"/>
  <c r="G73" i="1" l="1"/>
  <c r="G72" i="1"/>
  <c r="G71" i="1"/>
  <c r="G70" i="1"/>
  <c r="G69" i="1"/>
  <c r="G68" i="1"/>
  <c r="G66" i="1"/>
  <c r="G65" i="1"/>
  <c r="G64" i="1"/>
  <c r="G41" i="1" l="1"/>
  <c r="G42" i="1"/>
  <c r="G43" i="1"/>
  <c r="G44" i="1"/>
  <c r="G45" i="1"/>
  <c r="G46" i="1"/>
  <c r="G47" i="1"/>
  <c r="G48" i="1"/>
  <c r="G49" i="1"/>
  <c r="G40" i="1"/>
  <c r="G29" i="1"/>
  <c r="G30" i="1"/>
  <c r="G31" i="1"/>
  <c r="G32" i="1"/>
  <c r="G33" i="1"/>
  <c r="G34" i="1"/>
  <c r="G35" i="1"/>
  <c r="G36" i="1"/>
  <c r="G37" i="1"/>
  <c r="G28" i="1"/>
  <c r="G85" i="1" l="1"/>
  <c r="G84" i="1"/>
  <c r="G83" i="1"/>
  <c r="G82" i="1"/>
  <c r="G81" i="1"/>
  <c r="G80" i="1"/>
  <c r="G79" i="1"/>
  <c r="G78" i="1"/>
  <c r="G77" i="1"/>
  <c r="G76" i="1"/>
  <c r="H64" i="1" s="1"/>
  <c r="G61" i="1"/>
  <c r="G60" i="1"/>
  <c r="G59" i="1"/>
  <c r="G58" i="1"/>
  <c r="G57" i="1"/>
  <c r="G56" i="1"/>
  <c r="G55" i="1"/>
  <c r="G54" i="1"/>
  <c r="G53" i="1"/>
  <c r="H65" i="1" l="1"/>
  <c r="H53" i="1"/>
  <c r="H66" i="1"/>
  <c r="H54" i="1"/>
  <c r="H70" i="1"/>
  <c r="H58" i="1"/>
  <c r="H67" i="1"/>
  <c r="H55" i="1"/>
  <c r="H71" i="1"/>
  <c r="H59" i="1"/>
  <c r="H56" i="1"/>
  <c r="H68" i="1"/>
  <c r="H60" i="1"/>
  <c r="H72" i="1"/>
  <c r="H57" i="1"/>
  <c r="H69" i="1"/>
  <c r="H73" i="1"/>
  <c r="H61" i="1"/>
  <c r="L14" i="2"/>
  <c r="I14" i="2"/>
  <c r="L11" i="2" l="1"/>
  <c r="L10" i="2"/>
  <c r="I11" i="2"/>
  <c r="I10" i="2"/>
  <c r="I6" i="2"/>
  <c r="I7" i="2"/>
  <c r="I8" i="2"/>
  <c r="M1" i="2"/>
  <c r="J22" i="2" l="1"/>
  <c r="J21" i="2"/>
  <c r="J34" i="2"/>
  <c r="J35" i="2"/>
  <c r="J40" i="2"/>
  <c r="J33" i="2"/>
  <c r="J36" i="2"/>
  <c r="J41" i="2"/>
  <c r="J38" i="2"/>
  <c r="J42" i="2"/>
  <c r="J39" i="2"/>
  <c r="J32" i="2"/>
  <c r="M11" i="2"/>
  <c r="J7" i="2"/>
  <c r="J14" i="2"/>
  <c r="M10" i="2"/>
  <c r="J11" i="2"/>
  <c r="J6" i="2"/>
  <c r="J5" i="2"/>
  <c r="J10" i="2"/>
  <c r="J8" i="2"/>
  <c r="N10" i="2" l="1"/>
  <c r="N14" i="2"/>
  <c r="N11" i="2"/>
  <c r="I5" i="2"/>
  <c r="M14" i="2" s="1"/>
  <c r="H5" i="3"/>
  <c r="H6" i="3"/>
  <c r="H7" i="3"/>
  <c r="H8" i="3"/>
  <c r="H9" i="3"/>
  <c r="L8" i="3" l="1"/>
  <c r="L9" i="3"/>
  <c r="K9" i="3"/>
  <c r="K8" i="3"/>
  <c r="L1" i="3"/>
  <c r="I5" i="3" s="1"/>
  <c r="I8" i="3" l="1"/>
  <c r="I7" i="3"/>
  <c r="I4" i="3"/>
  <c r="I6" i="3"/>
  <c r="I9" i="3"/>
  <c r="M9" i="3" s="1"/>
  <c r="M8" i="3" l="1"/>
</calcChain>
</file>

<file path=xl/sharedStrings.xml><?xml version="1.0" encoding="utf-8"?>
<sst xmlns="http://schemas.openxmlformats.org/spreadsheetml/2006/main" count="204" uniqueCount="59">
  <si>
    <t>C-1</t>
  </si>
  <si>
    <t>C-2</t>
  </si>
  <si>
    <t>Cage</t>
  </si>
  <si>
    <t>Quinone</t>
  </si>
  <si>
    <t>-</t>
  </si>
  <si>
    <t>M1 : PBE0-D3BJ/def2-SVP</t>
  </si>
  <si>
    <t>M2 : M06-2X/def2-TZVP</t>
  </si>
  <si>
    <t>E(M1) / Ha</t>
  </si>
  <si>
    <t>E(M2/SMD(DCM)//M1) / Ha</t>
  </si>
  <si>
    <t>G3</t>
  </si>
  <si>
    <t>G7</t>
  </si>
  <si>
    <t>G8</t>
  </si>
  <si>
    <t>G4</t>
  </si>
  <si>
    <t>Data</t>
  </si>
  <si>
    <t>Catalytic activity for C-1 and C-2</t>
  </si>
  <si>
    <t>Diene</t>
  </si>
  <si>
    <t>G corr</t>
  </si>
  <si>
    <r>
      <t>SS 'correction' / kcal mol</t>
    </r>
    <r>
      <rPr>
        <vertAlign val="superscript"/>
        <sz val="12"/>
        <color theme="1"/>
        <rFont val="Calibri (Body)"/>
      </rPr>
      <t>-1</t>
    </r>
  </si>
  <si>
    <t>G</t>
  </si>
  <si>
    <t>H corr</t>
  </si>
  <si>
    <t>H</t>
  </si>
  <si>
    <r>
      <t>∆</t>
    </r>
    <r>
      <rPr>
        <i/>
        <sz val="12"/>
        <color theme="1"/>
        <rFont val="Calibri"/>
        <family val="2"/>
        <scheme val="minor"/>
      </rPr>
      <t>E</t>
    </r>
  </si>
  <si>
    <r>
      <t>∆</t>
    </r>
    <r>
      <rPr>
        <i/>
        <sz val="12"/>
        <color theme="1"/>
        <rFont val="Calibri"/>
        <family val="2"/>
        <scheme val="minor"/>
      </rPr>
      <t>H</t>
    </r>
  </si>
  <si>
    <r>
      <t>∆</t>
    </r>
    <r>
      <rPr>
        <i/>
        <sz val="12"/>
        <color theme="1"/>
        <rFont val="Calibri"/>
        <family val="2"/>
        <scheme val="minor"/>
      </rPr>
      <t>G</t>
    </r>
  </si>
  <si>
    <t>Fully optimised transtion states for the DA reaction between benzoquinone and isoprene</t>
  </si>
  <si>
    <t>Possible pre-TS strucutres</t>
  </si>
  <si>
    <t>TS</t>
  </si>
  <si>
    <r>
      <t>∆</t>
    </r>
    <r>
      <rPr>
        <i/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‡</t>
    </r>
  </si>
  <si>
    <r>
      <t>∆</t>
    </r>
    <r>
      <rPr>
        <i/>
        <sz val="12"/>
        <color theme="1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>‡</t>
    </r>
  </si>
  <si>
    <r>
      <t>∆</t>
    </r>
    <r>
      <rPr>
        <i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‡</t>
    </r>
  </si>
  <si>
    <t>Total partial charge quinone, Hirshfield M2/SMD(DCM)</t>
  </si>
  <si>
    <t>Total partial charge quinone, LOEWDIN M2/SMD(DCM)</t>
  </si>
  <si>
    <t>Total partial charge quinone, MULLIKEN M2/SMD(DCM)</t>
  </si>
  <si>
    <t>E(LUMO) /eV</t>
  </si>
  <si>
    <r>
      <t>∆</t>
    </r>
    <r>
      <rPr>
        <i/>
        <sz val="12"/>
        <color theme="1"/>
        <rFont val="Calibri"/>
        <family val="2"/>
        <scheme val="minor"/>
      </rPr>
      <t>E</t>
    </r>
    <r>
      <rPr>
        <vertAlign val="subscript"/>
        <sz val="12"/>
        <color theme="1"/>
        <rFont val="Calibri (Body)"/>
      </rPr>
      <t>AA</t>
    </r>
    <r>
      <rPr>
        <sz val="12"/>
        <color theme="1"/>
        <rFont val="Calibri"/>
        <family val="2"/>
        <scheme val="minor"/>
      </rPr>
      <t xml:space="preserve"> / kcal mol</t>
    </r>
    <r>
      <rPr>
        <vertAlign val="superscript"/>
        <sz val="12"/>
        <color theme="1"/>
        <rFont val="Calibri (Body)"/>
      </rPr>
      <t>-1</t>
    </r>
  </si>
  <si>
    <r>
      <t>∆∆</t>
    </r>
    <r>
      <rPr>
        <i/>
        <sz val="12"/>
        <color theme="1"/>
        <rFont val="Calibri"/>
        <family val="2"/>
        <scheme val="minor"/>
      </rPr>
      <t>E</t>
    </r>
    <r>
      <rPr>
        <vertAlign val="subscript"/>
        <sz val="12"/>
        <color theme="1"/>
        <rFont val="Calibri (Body)"/>
      </rPr>
      <t>AA</t>
    </r>
    <r>
      <rPr>
        <sz val="12"/>
        <color theme="1"/>
        <rFont val="Calibri"/>
        <family val="2"/>
        <scheme val="minor"/>
      </rPr>
      <t xml:space="preserve"> / kcal mol</t>
    </r>
    <r>
      <rPr>
        <vertAlign val="superscript"/>
        <sz val="12"/>
        <color theme="1"/>
        <rFont val="Calibri (Body)"/>
      </rPr>
      <t>-1</t>
    </r>
  </si>
  <si>
    <r>
      <t>expt. ∆∆</t>
    </r>
    <r>
      <rPr>
        <i/>
        <sz val="12"/>
        <color theme="1"/>
        <rFont val="Calibri"/>
        <family val="2"/>
        <scheme val="minor"/>
      </rPr>
      <t>G</t>
    </r>
    <r>
      <rPr>
        <vertAlign val="subscript"/>
        <sz val="12"/>
        <color theme="1"/>
        <rFont val="Calibri (Body)"/>
      </rPr>
      <t>CA</t>
    </r>
    <r>
      <rPr>
        <sz val="12"/>
        <color theme="1"/>
        <rFont val="Calibri"/>
        <family val="2"/>
        <scheme val="minor"/>
      </rPr>
      <t xml:space="preserve"> / kcal mol</t>
    </r>
    <r>
      <rPr>
        <vertAlign val="superscript"/>
        <sz val="12"/>
        <color theme="1"/>
        <rFont val="Calibri (Body)"/>
      </rPr>
      <t>-1</t>
    </r>
  </si>
  <si>
    <t>&lt;0</t>
  </si>
  <si>
    <t>~0</t>
  </si>
  <si>
    <t>PBE0-D3BJ/def2-SVP</t>
  </si>
  <si>
    <t>SMD(DCM)-M06-2X/def2-TZVP</t>
  </si>
  <si>
    <t>E</t>
  </si>
  <si>
    <t>None</t>
  </si>
  <si>
    <t>Dienophile</t>
  </si>
  <si>
    <t>ALT1</t>
  </si>
  <si>
    <t>ALT2</t>
  </si>
  <si>
    <t>furan</t>
  </si>
  <si>
    <t>d3</t>
  </si>
  <si>
    <t>TS exo</t>
  </si>
  <si>
    <t>dirac</t>
  </si>
  <si>
    <t>C-2-pMeAC</t>
  </si>
  <si>
    <t>C-2-pNO2</t>
  </si>
  <si>
    <t>C-2-pdimethlyamino</t>
  </si>
  <si>
    <r>
      <t>∆</t>
    </r>
    <r>
      <rPr>
        <i/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 xml:space="preserve"> / kcal mol</t>
    </r>
    <r>
      <rPr>
        <vertAlign val="superscript"/>
        <sz val="12"/>
        <color theme="1"/>
        <rFont val="Calibri (Body)"/>
      </rPr>
      <t>-1</t>
    </r>
  </si>
  <si>
    <t>on hessian</t>
  </si>
  <si>
    <t>dirac - hessian</t>
  </si>
  <si>
    <r>
      <t>∆</t>
    </r>
    <r>
      <rPr>
        <i/>
        <sz val="12"/>
        <color theme="1"/>
        <rFont val="Calibri"/>
        <family val="2"/>
        <scheme val="minor"/>
      </rPr>
      <t>E</t>
    </r>
    <r>
      <rPr>
        <vertAlign val="subscript"/>
        <sz val="12"/>
        <color theme="1"/>
        <rFont val="Calibri (Body)"/>
      </rPr>
      <t>AA</t>
    </r>
    <r>
      <rPr>
        <sz val="12"/>
        <color theme="1"/>
        <rFont val="Calibri"/>
        <family val="2"/>
        <scheme val="minor"/>
      </rPr>
      <t xml:space="preserve"> / kcal mol</t>
    </r>
    <r>
      <rPr>
        <vertAlign val="superscript"/>
        <sz val="12"/>
        <color theme="1"/>
        <rFont val="Calibri (Body)"/>
      </rPr>
      <t>-0</t>
    </r>
    <r>
      <rPr>
        <sz val="12"/>
        <color theme="1"/>
        <rFont val="Calibri"/>
        <family val="2"/>
        <scheme val="minor"/>
      </rPr>
      <t/>
    </r>
  </si>
  <si>
    <t>TSA</t>
  </si>
  <si>
    <t>Not the lowest energy ALT1@C-2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</si>
</sst>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8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/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3" borderId="0" xfId="2"/>
    <xf numFmtId="0" fontId="11" fillId="2" borderId="0" xfId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771071</xdr:colOff>
      <xdr:row>30</xdr:row>
      <xdr:rowOff>163284</xdr:rowOff>
    </xdr:from>
    <xdr:to>
      <xdr:col>17</xdr:col>
      <xdr:colOff>772885</xdr:colOff>
      <xdr:row>50</xdr:row>
      <xdr:rowOff>23584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21E435-A1D0-764D-AF0F-6A736A0E9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72571" y="4526641"/>
          <a:ext cx="2895600" cy="309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8539-FBD4-B741-AC09-513175F14C06}">
  <dimension ref="A1:M21"/>
  <sheetViews>
    <sheetView zoomScale="140" zoomScaleNormal="140" workbookViewId="0">
      <selection activeCell="J19" sqref="J19"/>
    </sheetView>
  </sheetViews>
  <sheetFormatPr baseColWidth="10" defaultRowHeight="16"/>
  <cols>
    <col min="7" max="8" width="13.5" customWidth="1"/>
    <col min="12" max="12" width="9.6640625" customWidth="1"/>
  </cols>
  <sheetData>
    <row r="1" spans="1:13" ht="21">
      <c r="A1" s="18" t="s">
        <v>25</v>
      </c>
      <c r="J1" t="s">
        <v>17</v>
      </c>
      <c r="L1" s="13">
        <f>8.3145*(298)*LN(1/(101325/(8.3145*(298)*1000)))/(4.18*1000)</f>
        <v>1.894900140312376</v>
      </c>
    </row>
    <row r="3" spans="1:13" ht="34">
      <c r="A3" s="14" t="s">
        <v>2</v>
      </c>
      <c r="B3" s="14" t="s">
        <v>3</v>
      </c>
      <c r="C3" s="14" t="s">
        <v>15</v>
      </c>
      <c r="D3" s="14" t="s">
        <v>7</v>
      </c>
      <c r="E3" s="14" t="s">
        <v>19</v>
      </c>
      <c r="F3" s="14" t="s">
        <v>16</v>
      </c>
      <c r="G3" s="15" t="s">
        <v>8</v>
      </c>
      <c r="H3" s="17" t="s">
        <v>20</v>
      </c>
      <c r="I3" s="16" t="s">
        <v>18</v>
      </c>
      <c r="J3" s="10"/>
      <c r="K3" s="16" t="s">
        <v>21</v>
      </c>
      <c r="L3" s="16" t="s">
        <v>22</v>
      </c>
      <c r="M3" s="16" t="s">
        <v>23</v>
      </c>
    </row>
    <row r="4" spans="1:13">
      <c r="A4" s="2" t="s">
        <v>1</v>
      </c>
      <c r="B4" s="10" t="s">
        <v>4</v>
      </c>
      <c r="C4" s="10" t="s">
        <v>4</v>
      </c>
      <c r="D4">
        <v>-3827.3915763509899</v>
      </c>
      <c r="E4">
        <f>1.08649766+0.00094421</f>
        <v>1.0874418699999999</v>
      </c>
      <c r="F4">
        <v>0.91725319999999999</v>
      </c>
      <c r="G4">
        <v>-3834.2480984259701</v>
      </c>
      <c r="H4">
        <f>G4+E4</f>
        <v>-3833.16065655597</v>
      </c>
      <c r="I4">
        <f>G4+F4+($L$1/627.5)</f>
        <v>-3833.3278254647903</v>
      </c>
      <c r="M4" s="9"/>
    </row>
    <row r="5" spans="1:13">
      <c r="A5" s="10" t="s">
        <v>4</v>
      </c>
      <c r="B5" s="2">
        <v>1</v>
      </c>
      <c r="C5" s="10" t="s">
        <v>4</v>
      </c>
      <c r="D5">
        <v>-380.75203560921</v>
      </c>
      <c r="E5">
        <v>9.3044020000000005E-2</v>
      </c>
      <c r="F5">
        <v>5.5522990000000001E-2</v>
      </c>
      <c r="G5">
        <v>-381.45965465520402</v>
      </c>
      <c r="H5">
        <f t="shared" ref="H5:H9" si="0">G5+E5</f>
        <v>-381.36661063520404</v>
      </c>
      <c r="I5">
        <f t="shared" ref="I5:I9" si="1">G5+F5+($L$1/627.5)</f>
        <v>-381.40111190402428</v>
      </c>
    </row>
    <row r="6" spans="1:13">
      <c r="A6" s="10" t="s">
        <v>4</v>
      </c>
      <c r="B6" s="10" t="s">
        <v>4</v>
      </c>
      <c r="C6" s="2">
        <v>2</v>
      </c>
      <c r="D6">
        <v>-194.92610022</v>
      </c>
      <c r="E6">
        <v>0.12015481</v>
      </c>
      <c r="F6">
        <v>8.5476709999999997E-2</v>
      </c>
      <c r="G6">
        <v>-195.28213581897</v>
      </c>
      <c r="H6">
        <f t="shared" si="0"/>
        <v>-195.16198100897</v>
      </c>
      <c r="I6">
        <f t="shared" si="1"/>
        <v>-195.19363934779022</v>
      </c>
    </row>
    <row r="7" spans="1:13">
      <c r="A7" s="2" t="s">
        <v>1</v>
      </c>
      <c r="B7" s="2">
        <v>1</v>
      </c>
      <c r="C7" s="10" t="s">
        <v>4</v>
      </c>
      <c r="D7">
        <v>-4208.21346482636</v>
      </c>
      <c r="E7">
        <v>1.1838301899999999</v>
      </c>
      <c r="F7">
        <v>0.99820960999999997</v>
      </c>
      <c r="G7">
        <v>-4215.71307067815</v>
      </c>
      <c r="H7">
        <f t="shared" si="0"/>
        <v>-4214.5292404881502</v>
      </c>
      <c r="I7">
        <f t="shared" si="1"/>
        <v>-4214.7118413069702</v>
      </c>
    </row>
    <row r="8" spans="1:13">
      <c r="A8" s="2" t="s">
        <v>1</v>
      </c>
      <c r="B8" s="10" t="s">
        <v>4</v>
      </c>
      <c r="C8" s="2">
        <v>2</v>
      </c>
      <c r="D8">
        <v>-4022.3502616850301</v>
      </c>
      <c r="E8">
        <v>1.2086432899999999</v>
      </c>
      <c r="F8">
        <v>1.0243039</v>
      </c>
      <c r="G8">
        <v>-4029.5296059637199</v>
      </c>
      <c r="H8">
        <f t="shared" si="0"/>
        <v>-4028.3209626737198</v>
      </c>
      <c r="I8">
        <f t="shared" si="1"/>
        <v>-4028.5022823025397</v>
      </c>
      <c r="K8" s="4">
        <f t="shared" ref="K8" si="2">627.5*(G8+G5-G6-G7)</f>
        <v>3.7310385680802938</v>
      </c>
      <c r="L8" s="4">
        <f>627.5*(H8+H5-H6-H7)</f>
        <v>2.2892380930943546</v>
      </c>
      <c r="M8" s="4">
        <f t="shared" ref="M8" si="3">627.5*(I8+I5-I6-I7)</f>
        <v>1.3092462428448925</v>
      </c>
    </row>
    <row r="9" spans="1:13">
      <c r="A9" s="2" t="s">
        <v>1</v>
      </c>
      <c r="B9" s="2">
        <v>1</v>
      </c>
      <c r="C9" s="2">
        <v>2</v>
      </c>
      <c r="D9">
        <v>-4403.16463321633</v>
      </c>
      <c r="E9">
        <v>1.3048983199999999</v>
      </c>
      <c r="F9">
        <v>1.10703061</v>
      </c>
      <c r="G9">
        <v>-4410.9994548468403</v>
      </c>
      <c r="H9">
        <f t="shared" si="0"/>
        <v>-4409.6945565268406</v>
      </c>
      <c r="I9">
        <f t="shared" si="1"/>
        <v>-4409.8894044756607</v>
      </c>
      <c r="K9" s="19">
        <f>627.5*(G9-G8-G5)</f>
        <v>-6.3968780175592599</v>
      </c>
      <c r="L9" s="19">
        <f>627.5*(H9-H8-H5)</f>
        <v>-4.3819692427904045</v>
      </c>
      <c r="M9" s="19">
        <f t="shared" ref="M9" si="4">627.5*(I9-I8-I5)</f>
        <v>8.7785561417790348</v>
      </c>
    </row>
    <row r="14" spans="1:13">
      <c r="D14" s="35" t="s">
        <v>39</v>
      </c>
      <c r="E14" s="35"/>
      <c r="F14" s="35"/>
      <c r="G14" s="35" t="s">
        <v>40</v>
      </c>
      <c r="H14" s="35"/>
      <c r="I14" s="35"/>
    </row>
    <row r="15" spans="1:13">
      <c r="D15" t="s">
        <v>41</v>
      </c>
      <c r="E15" t="s">
        <v>20</v>
      </c>
      <c r="F15" t="s">
        <v>18</v>
      </c>
      <c r="G15" t="s">
        <v>41</v>
      </c>
      <c r="H15" t="s">
        <v>20</v>
      </c>
      <c r="I15" t="s">
        <v>18</v>
      </c>
    </row>
    <row r="16" spans="1:13">
      <c r="D16">
        <f>D4</f>
        <v>-3827.3915763509899</v>
      </c>
      <c r="E16">
        <f>E4+D4</f>
        <v>-3826.3041344809899</v>
      </c>
      <c r="F16">
        <f>F4+D4</f>
        <v>-3826.4743231509901</v>
      </c>
      <c r="G16">
        <f>G4</f>
        <v>-3834.2480984259701</v>
      </c>
      <c r="H16">
        <f t="shared" ref="H16:I16" si="5">H4</f>
        <v>-3833.16065655597</v>
      </c>
      <c r="I16">
        <f t="shared" si="5"/>
        <v>-3833.3278254647903</v>
      </c>
    </row>
    <row r="17" spans="4:9">
      <c r="D17">
        <f t="shared" ref="D17:D21" si="6">D5</f>
        <v>-380.75203560921</v>
      </c>
      <c r="E17">
        <f t="shared" ref="E17:E21" si="7">E5+D5</f>
        <v>-380.65899158921002</v>
      </c>
      <c r="F17">
        <f t="shared" ref="F17:F21" si="8">F5+D5</f>
        <v>-380.69651261921001</v>
      </c>
      <c r="G17">
        <f t="shared" ref="G17:I21" si="9">G5</f>
        <v>-381.45965465520402</v>
      </c>
      <c r="H17">
        <f t="shared" si="9"/>
        <v>-381.36661063520404</v>
      </c>
      <c r="I17">
        <f t="shared" si="9"/>
        <v>-381.40111190402428</v>
      </c>
    </row>
    <row r="18" spans="4:9">
      <c r="D18">
        <f t="shared" si="6"/>
        <v>-194.92610022</v>
      </c>
      <c r="E18">
        <f t="shared" si="7"/>
        <v>-194.80594540999999</v>
      </c>
      <c r="F18">
        <f t="shared" si="8"/>
        <v>-194.84062351</v>
      </c>
      <c r="G18">
        <f t="shared" si="9"/>
        <v>-195.28213581897</v>
      </c>
      <c r="H18">
        <f t="shared" si="9"/>
        <v>-195.16198100897</v>
      </c>
      <c r="I18">
        <f t="shared" si="9"/>
        <v>-195.19363934779022</v>
      </c>
    </row>
    <row r="19" spans="4:9">
      <c r="D19">
        <f t="shared" si="6"/>
        <v>-4208.21346482636</v>
      </c>
      <c r="E19">
        <f t="shared" si="7"/>
        <v>-4207.0296346363602</v>
      </c>
      <c r="F19">
        <f t="shared" si="8"/>
        <v>-4207.2152552163598</v>
      </c>
      <c r="G19">
        <f t="shared" si="9"/>
        <v>-4215.71307067815</v>
      </c>
      <c r="H19">
        <f t="shared" si="9"/>
        <v>-4214.5292404881502</v>
      </c>
      <c r="I19">
        <f t="shared" si="9"/>
        <v>-4214.7118413069702</v>
      </c>
    </row>
    <row r="20" spans="4:9">
      <c r="D20">
        <f t="shared" si="6"/>
        <v>-4022.3502616850301</v>
      </c>
      <c r="E20">
        <f t="shared" si="7"/>
        <v>-4021.14161839503</v>
      </c>
      <c r="F20">
        <f t="shared" si="8"/>
        <v>-4021.3259577850299</v>
      </c>
      <c r="G20">
        <f t="shared" si="9"/>
        <v>-4029.5296059637199</v>
      </c>
      <c r="H20">
        <f t="shared" si="9"/>
        <v>-4028.3209626737198</v>
      </c>
      <c r="I20">
        <f t="shared" si="9"/>
        <v>-4028.5022823025397</v>
      </c>
    </row>
    <row r="21" spans="4:9">
      <c r="D21">
        <f t="shared" si="6"/>
        <v>-4403.16463321633</v>
      </c>
      <c r="E21">
        <f t="shared" si="7"/>
        <v>-4401.8597348963303</v>
      </c>
      <c r="F21">
        <f t="shared" si="8"/>
        <v>-4402.05760260633</v>
      </c>
      <c r="G21">
        <f t="shared" si="9"/>
        <v>-4410.9994548468403</v>
      </c>
      <c r="H21">
        <f t="shared" si="9"/>
        <v>-4409.6945565268406</v>
      </c>
      <c r="I21">
        <f t="shared" si="9"/>
        <v>-4409.8894044756607</v>
      </c>
    </row>
  </sheetData>
  <mergeCells count="2">
    <mergeCell ref="D14:F14"/>
    <mergeCell ref="G14: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CB09-7004-0F4B-8B6A-249D6147FE73}">
  <dimension ref="A3:J14"/>
  <sheetViews>
    <sheetView zoomScale="140" zoomScaleNormal="140" workbookViewId="0">
      <selection activeCell="H21" sqref="H21"/>
    </sheetView>
  </sheetViews>
  <sheetFormatPr baseColWidth="10" defaultRowHeight="16"/>
  <cols>
    <col min="2" max="2" width="18.83203125" customWidth="1"/>
    <col min="6" max="6" width="15.6640625" customWidth="1"/>
    <col min="9" max="9" width="13.83203125" customWidth="1"/>
    <col min="10" max="10" width="16.33203125" customWidth="1"/>
  </cols>
  <sheetData>
    <row r="3" spans="1:10" ht="20">
      <c r="B3" s="5" t="s">
        <v>2</v>
      </c>
      <c r="C3" s="5" t="s">
        <v>3</v>
      </c>
      <c r="D3" s="5" t="s">
        <v>15</v>
      </c>
      <c r="E3" s="6" t="s">
        <v>7</v>
      </c>
      <c r="F3" s="6" t="s">
        <v>8</v>
      </c>
      <c r="H3" t="s">
        <v>56</v>
      </c>
      <c r="I3" t="s">
        <v>34</v>
      </c>
      <c r="J3" t="s">
        <v>35</v>
      </c>
    </row>
    <row r="4" spans="1:10">
      <c r="B4" s="31" t="s">
        <v>42</v>
      </c>
      <c r="C4" s="2">
        <v>1</v>
      </c>
      <c r="D4" s="2">
        <v>3</v>
      </c>
      <c r="E4">
        <v>-574.48633559502696</v>
      </c>
      <c r="F4">
        <v>-575.53446417893201</v>
      </c>
      <c r="H4">
        <f>627.5*(E4-E5-E6)</f>
        <v>0.71720374986533386</v>
      </c>
      <c r="I4" s="9">
        <v>9.4020291760638486</v>
      </c>
    </row>
    <row r="5" spans="1:10">
      <c r="B5" s="31" t="s">
        <v>42</v>
      </c>
      <c r="C5" s="2">
        <v>1</v>
      </c>
      <c r="D5" s="33" t="s">
        <v>42</v>
      </c>
      <c r="E5">
        <v>-380.75203560921</v>
      </c>
      <c r="F5">
        <v>-381.45965465520402</v>
      </c>
      <c r="I5" s="9"/>
    </row>
    <row r="6" spans="1:10">
      <c r="B6" s="31" t="s">
        <v>42</v>
      </c>
      <c r="C6" s="31" t="s">
        <v>42</v>
      </c>
      <c r="D6" s="2">
        <v>3</v>
      </c>
      <c r="E6">
        <v>-193.73544294000001</v>
      </c>
      <c r="F6">
        <v>-194.08979283715601</v>
      </c>
    </row>
    <row r="8" spans="1:10">
      <c r="B8" s="30" t="s">
        <v>50</v>
      </c>
      <c r="C8" s="2">
        <v>1</v>
      </c>
      <c r="D8" s="26" t="s">
        <v>4</v>
      </c>
      <c r="E8">
        <v>-5118.0901047090802</v>
      </c>
      <c r="F8">
        <v>-5127.2451793550499</v>
      </c>
    </row>
    <row r="9" spans="1:10">
      <c r="B9" s="30" t="s">
        <v>51</v>
      </c>
      <c r="C9" s="2">
        <v>1</v>
      </c>
      <c r="D9" s="26" t="s">
        <v>4</v>
      </c>
      <c r="E9">
        <v>-5024.7219736636498</v>
      </c>
      <c r="F9">
        <v>-5033.73804751428</v>
      </c>
    </row>
    <row r="10" spans="1:10">
      <c r="B10" s="30" t="s">
        <v>52</v>
      </c>
      <c r="C10" s="2">
        <v>1</v>
      </c>
      <c r="D10" s="26" t="s">
        <v>4</v>
      </c>
      <c r="E10">
        <v>-4743.1791876131601</v>
      </c>
      <c r="F10">
        <v>-4751.5855608879001</v>
      </c>
    </row>
    <row r="12" spans="1:10">
      <c r="A12" t="s">
        <v>57</v>
      </c>
      <c r="B12" s="30" t="s">
        <v>50</v>
      </c>
      <c r="C12" s="2">
        <v>1</v>
      </c>
      <c r="D12" s="2">
        <v>3</v>
      </c>
      <c r="F12" s="28"/>
      <c r="H12">
        <f>627.5*(E12-E8-E6)</f>
        <v>3333170.5311497981</v>
      </c>
    </row>
    <row r="13" spans="1:10">
      <c r="A13" t="s">
        <v>57</v>
      </c>
      <c r="B13" s="30" t="s">
        <v>51</v>
      </c>
      <c r="C13" s="2">
        <v>1</v>
      </c>
      <c r="D13" s="2">
        <v>3</v>
      </c>
      <c r="E13">
        <v>-5218.4858758273604</v>
      </c>
      <c r="F13" s="28"/>
      <c r="H13">
        <f>627.5*(E13-E9-E6)</f>
        <v>-17.858162878364752</v>
      </c>
    </row>
    <row r="14" spans="1:10">
      <c r="A14" t="s">
        <v>57</v>
      </c>
      <c r="B14" s="30" t="s">
        <v>52</v>
      </c>
      <c r="C14" s="2">
        <v>1</v>
      </c>
      <c r="D14" s="2">
        <v>3</v>
      </c>
      <c r="E14" s="28">
        <v>-4936.9429570000002</v>
      </c>
      <c r="F14" s="29"/>
      <c r="H14">
        <f>627.5*(E14-E10-E6)</f>
        <v>-17.774845392134253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8661-29BD-4C4F-9F89-34ABCBE1CC97}">
  <dimension ref="A1:T42"/>
  <sheetViews>
    <sheetView topLeftCell="A5" zoomScale="140" zoomScaleNormal="140" workbookViewId="0">
      <selection activeCell="P19" sqref="P19"/>
    </sheetView>
  </sheetViews>
  <sheetFormatPr baseColWidth="10" defaultRowHeight="16"/>
  <cols>
    <col min="8" max="8" width="14.6640625" customWidth="1"/>
    <col min="13" max="13" width="12.83203125" customWidth="1"/>
    <col min="17" max="17" width="16.33203125" customWidth="1"/>
    <col min="18" max="18" width="14" customWidth="1"/>
  </cols>
  <sheetData>
    <row r="1" spans="1:20" ht="21">
      <c r="A1" s="18" t="s">
        <v>24</v>
      </c>
      <c r="K1" t="s">
        <v>17</v>
      </c>
      <c r="M1" s="13">
        <f>8.3145*(298)*LN(1/(101325/(8.3145*(298)*1000)))/(4.18*1000)</f>
        <v>1.894900140312376</v>
      </c>
    </row>
    <row r="4" spans="1:20" ht="56" customHeight="1">
      <c r="B4" s="14" t="s">
        <v>2</v>
      </c>
      <c r="C4" s="14" t="s">
        <v>3</v>
      </c>
      <c r="D4" s="14" t="s">
        <v>15</v>
      </c>
      <c r="E4" s="14" t="s">
        <v>7</v>
      </c>
      <c r="F4" s="14" t="s">
        <v>19</v>
      </c>
      <c r="G4" s="14" t="s">
        <v>16</v>
      </c>
      <c r="H4" s="15" t="s">
        <v>8</v>
      </c>
      <c r="I4" s="17" t="s">
        <v>20</v>
      </c>
      <c r="J4" s="16" t="s">
        <v>18</v>
      </c>
      <c r="K4" s="12"/>
      <c r="L4" s="16" t="s">
        <v>27</v>
      </c>
      <c r="M4" s="16" t="s">
        <v>28</v>
      </c>
      <c r="N4" s="16" t="s">
        <v>29</v>
      </c>
      <c r="Q4" s="22" t="s">
        <v>30</v>
      </c>
      <c r="R4" s="22" t="s">
        <v>31</v>
      </c>
      <c r="S4" s="22" t="s">
        <v>32</v>
      </c>
      <c r="T4" s="22" t="s">
        <v>33</v>
      </c>
    </row>
    <row r="5" spans="1:20">
      <c r="B5" s="12" t="s">
        <v>4</v>
      </c>
      <c r="C5" s="2">
        <v>1</v>
      </c>
      <c r="D5" s="12" t="s">
        <v>4</v>
      </c>
      <c r="E5">
        <v>-380.75203560921</v>
      </c>
      <c r="F5">
        <v>9.3044020000000005E-2</v>
      </c>
      <c r="G5">
        <v>5.5522990000000001E-2</v>
      </c>
      <c r="H5">
        <v>-381.45965465520402</v>
      </c>
      <c r="I5">
        <f t="shared" ref="I5:I8" si="0">H5+F5</f>
        <v>-381.36661063520404</v>
      </c>
      <c r="J5">
        <f>H5+G5+($M$1/627.5)</f>
        <v>-381.40111190402428</v>
      </c>
      <c r="T5">
        <v>-2.4735999999999998</v>
      </c>
    </row>
    <row r="6" spans="1:20">
      <c r="B6" s="12" t="s">
        <v>4</v>
      </c>
      <c r="C6" s="12" t="s">
        <v>4</v>
      </c>
      <c r="D6" s="2">
        <v>2</v>
      </c>
      <c r="E6">
        <v>-194.92610022</v>
      </c>
      <c r="F6">
        <v>0.12015481</v>
      </c>
      <c r="G6">
        <v>8.5476709999999997E-2</v>
      </c>
      <c r="H6">
        <v>-195.28213581897</v>
      </c>
      <c r="I6">
        <f t="shared" si="0"/>
        <v>-195.16198100897</v>
      </c>
      <c r="J6">
        <f t="shared" ref="J6:J8" si="1">H6+G6+($M$1/627.5)</f>
        <v>-195.19363934779022</v>
      </c>
    </row>
    <row r="7" spans="1:20">
      <c r="B7" s="2" t="s">
        <v>0</v>
      </c>
      <c r="C7" s="2">
        <v>1</v>
      </c>
      <c r="D7" s="12" t="s">
        <v>4</v>
      </c>
      <c r="E7">
        <v>-4144.17909498069</v>
      </c>
      <c r="F7">
        <v>1.2310152299996799</v>
      </c>
      <c r="G7">
        <v>1.04534534999947</v>
      </c>
      <c r="H7">
        <v>-4151.5598354342101</v>
      </c>
      <c r="I7">
        <f t="shared" si="0"/>
        <v>-4150.3288202042104</v>
      </c>
      <c r="J7">
        <f t="shared" si="1"/>
        <v>-4150.5114703230311</v>
      </c>
      <c r="Q7">
        <v>0.24996099999999999</v>
      </c>
      <c r="R7">
        <v>0.1255980000000001</v>
      </c>
      <c r="S7">
        <v>0.1507239999999998</v>
      </c>
      <c r="T7">
        <v>-4.0251999999999999</v>
      </c>
    </row>
    <row r="8" spans="1:20">
      <c r="B8" s="2" t="s">
        <v>1</v>
      </c>
      <c r="C8" s="2">
        <v>1</v>
      </c>
      <c r="D8" s="12" t="s">
        <v>4</v>
      </c>
      <c r="E8">
        <v>-4208.21346482636</v>
      </c>
      <c r="F8">
        <v>1.1838301899999999</v>
      </c>
      <c r="G8">
        <v>0.99820960999999997</v>
      </c>
      <c r="H8">
        <v>-4215.71307067815</v>
      </c>
      <c r="I8">
        <f t="shared" si="0"/>
        <v>-4214.5292404881502</v>
      </c>
      <c r="J8">
        <f t="shared" si="1"/>
        <v>-4214.7118413069702</v>
      </c>
      <c r="Q8">
        <v>0.16188</v>
      </c>
      <c r="R8">
        <v>0.12252200000000009</v>
      </c>
      <c r="S8">
        <v>0.13949600000000006</v>
      </c>
      <c r="T8">
        <v>-3.9670999999999998</v>
      </c>
    </row>
    <row r="10" spans="1:20">
      <c r="A10" s="20" t="s">
        <v>26</v>
      </c>
      <c r="B10" s="2" t="s">
        <v>0</v>
      </c>
      <c r="C10" s="2">
        <v>1</v>
      </c>
      <c r="D10" s="2">
        <v>2</v>
      </c>
      <c r="E10">
        <v>-4339.1212010199997</v>
      </c>
      <c r="F10">
        <v>1.3536727099999499</v>
      </c>
      <c r="G10">
        <v>1.1551769399993601</v>
      </c>
      <c r="H10">
        <v>-4346.8256507147598</v>
      </c>
      <c r="I10">
        <f t="shared" ref="I10" si="2">H10+F10</f>
        <v>-4345.4719780047599</v>
      </c>
      <c r="J10">
        <f>H10+G10+($M$1/627.5)</f>
        <v>-4345.6674540135809</v>
      </c>
      <c r="L10" s="19">
        <f>627.5*(H10-H7-H6)</f>
        <v>10.241137858704121</v>
      </c>
      <c r="M10" s="19">
        <f>627.5*(I10-I7-I6)</f>
        <v>11.81156328387253</v>
      </c>
      <c r="N10" s="19">
        <f t="shared" ref="N10" si="3">627.5*(J10-J7-J6)</f>
        <v>23.628924918319711</v>
      </c>
      <c r="T10" s="4"/>
    </row>
    <row r="11" spans="1:20">
      <c r="A11" s="20" t="s">
        <v>26</v>
      </c>
      <c r="B11" s="2" t="s">
        <v>1</v>
      </c>
      <c r="C11" s="2">
        <v>1</v>
      </c>
      <c r="D11" s="2">
        <v>2</v>
      </c>
      <c r="E11">
        <v>-4403.15911108</v>
      </c>
      <c r="F11">
        <v>1.30540440000004</v>
      </c>
      <c r="G11">
        <v>1.1096274499995999</v>
      </c>
      <c r="H11">
        <v>-4410.9880960191704</v>
      </c>
      <c r="I11">
        <f t="shared" ref="I11" si="4">H11+F11</f>
        <v>-4409.6826916191703</v>
      </c>
      <c r="J11">
        <f>H11+G11+($M$1/627.5)</f>
        <v>-4409.8754488079912</v>
      </c>
      <c r="L11" s="19">
        <f>627.5*(H11-H8-H6)</f>
        <v>4.4618249133711174</v>
      </c>
      <c r="M11" s="19">
        <f t="shared" ref="M11:N11" si="5">627.5*(I11-I8-I6)</f>
        <v>5.3524984135514586</v>
      </c>
      <c r="N11" s="19">
        <f t="shared" si="5"/>
        <v>18.844983847667294</v>
      </c>
      <c r="T11" s="4"/>
    </row>
    <row r="14" spans="1:20">
      <c r="A14" s="20" t="s">
        <v>26</v>
      </c>
      <c r="B14" s="2" t="s">
        <v>4</v>
      </c>
      <c r="C14" s="2">
        <v>1</v>
      </c>
      <c r="D14" s="2">
        <v>2</v>
      </c>
      <c r="E14">
        <v>-575.67583520000005</v>
      </c>
      <c r="F14">
        <v>0.21455840999999501</v>
      </c>
      <c r="G14">
        <v>0.16566356000009799</v>
      </c>
      <c r="H14">
        <v>-576.72602759609799</v>
      </c>
      <c r="I14">
        <f t="shared" ref="I14" si="6">H14+F14</f>
        <v>-576.511469186098</v>
      </c>
      <c r="J14">
        <f>H14+G14+($M$1/627.5)</f>
        <v>-576.55734427491814</v>
      </c>
      <c r="L14" s="19">
        <f>627.5*(H14-H6-H5)</f>
        <v>9.8912059927100415</v>
      </c>
      <c r="M14" s="19">
        <f>627.5*(I14-I6-I5)</f>
        <v>10.744342442700514</v>
      </c>
      <c r="N14" s="19">
        <f>627.5*(J14-J6-J5)</f>
        <v>23.472878002468178</v>
      </c>
    </row>
    <row r="15" spans="1:20">
      <c r="A15" s="20"/>
      <c r="B15" s="2"/>
      <c r="C15" s="2"/>
      <c r="D15" s="2"/>
    </row>
    <row r="16" spans="1:20">
      <c r="A16" s="20"/>
      <c r="B16" s="2"/>
      <c r="C16" s="2"/>
      <c r="D16" s="2"/>
    </row>
    <row r="17" spans="1:16">
      <c r="A17" s="20"/>
      <c r="B17" s="32" t="s">
        <v>4</v>
      </c>
      <c r="C17" s="2">
        <v>12</v>
      </c>
      <c r="D17" s="32" t="s">
        <v>4</v>
      </c>
      <c r="E17">
        <v>-420.00206539281902</v>
      </c>
      <c r="H17">
        <v>-420.77593821366497</v>
      </c>
      <c r="P17" s="9">
        <f>L14-L11</f>
        <v>5.4293810793389241</v>
      </c>
    </row>
    <row r="18" spans="1:16">
      <c r="A18" s="20"/>
      <c r="B18" s="32" t="s">
        <v>4</v>
      </c>
      <c r="C18" s="32" t="s">
        <v>4</v>
      </c>
      <c r="D18" s="2">
        <v>8</v>
      </c>
      <c r="E18">
        <v>-194.92694682999999</v>
      </c>
      <c r="H18">
        <v>-195.28282499676001</v>
      </c>
      <c r="P18" s="9">
        <f>L14-L10</f>
        <v>-0.34993186599407977</v>
      </c>
    </row>
    <row r="19" spans="1:16">
      <c r="A19" s="20"/>
      <c r="B19" s="2" t="s">
        <v>0</v>
      </c>
      <c r="C19" s="2">
        <v>12</v>
      </c>
      <c r="D19" s="2" t="s">
        <v>4</v>
      </c>
      <c r="E19">
        <v>-4183.4348762933396</v>
      </c>
      <c r="H19">
        <v>-4190.87832283436</v>
      </c>
    </row>
    <row r="20" spans="1:16">
      <c r="A20" s="20"/>
      <c r="B20" s="2" t="s">
        <v>1</v>
      </c>
      <c r="C20" s="2">
        <v>12</v>
      </c>
      <c r="D20" s="2" t="s">
        <v>4</v>
      </c>
      <c r="E20">
        <v>-4247.4639157558604</v>
      </c>
      <c r="H20">
        <v>-4255.0324247220897</v>
      </c>
    </row>
    <row r="21" spans="1:16">
      <c r="A21" s="20" t="s">
        <v>26</v>
      </c>
      <c r="B21" s="2" t="s">
        <v>0</v>
      </c>
      <c r="C21" s="2">
        <v>12</v>
      </c>
      <c r="D21" s="2">
        <v>8</v>
      </c>
      <c r="E21">
        <v>-4378.3840085800002</v>
      </c>
      <c r="F21">
        <v>1.3845851599999099</v>
      </c>
      <c r="G21">
        <v>1.1824060899998501</v>
      </c>
      <c r="H21">
        <v>-4386.1497323522399</v>
      </c>
      <c r="I21">
        <f t="shared" ref="I21:I22" si="7">H21+F21</f>
        <v>-4384.76514719224</v>
      </c>
      <c r="J21">
        <f>H21+G21+($M$1/627.5)</f>
        <v>-4384.9643065010605</v>
      </c>
      <c r="L21" s="19">
        <f>627.5*(H21-H19-H18)</f>
        <v>7.1632129972869762</v>
      </c>
      <c r="M21" s="9">
        <f>L24-L21</f>
        <v>2.3602813023554603</v>
      </c>
    </row>
    <row r="22" spans="1:16">
      <c r="A22" s="20" t="s">
        <v>26</v>
      </c>
      <c r="B22" s="2" t="s">
        <v>1</v>
      </c>
      <c r="C22" s="2">
        <v>12</v>
      </c>
      <c r="D22" s="2">
        <v>8</v>
      </c>
      <c r="E22">
        <v>-4442.41937564</v>
      </c>
      <c r="F22">
        <v>1.3353592399998799</v>
      </c>
      <c r="G22">
        <v>1.13715217000026</v>
      </c>
      <c r="H22">
        <v>-4450.3077019443399</v>
      </c>
      <c r="I22">
        <f t="shared" si="7"/>
        <v>-4448.97234270434</v>
      </c>
      <c r="J22">
        <f>H22+G22+($M$1/627.5)</f>
        <v>-4449.1675300131601</v>
      </c>
      <c r="L22" s="19">
        <f>627.5*(H22-H20-H18)</f>
        <v>4.7362285048922814</v>
      </c>
      <c r="M22" s="9">
        <f>L24-L22</f>
        <v>4.7872657947501551</v>
      </c>
    </row>
    <row r="23" spans="1:16">
      <c r="A23" s="20"/>
      <c r="B23" s="2"/>
      <c r="C23" s="2"/>
      <c r="D23" s="2"/>
    </row>
    <row r="24" spans="1:16">
      <c r="A24" s="20" t="s">
        <v>26</v>
      </c>
      <c r="B24" s="2" t="s">
        <v>4</v>
      </c>
      <c r="C24" s="2">
        <v>12</v>
      </c>
      <c r="D24" s="2">
        <v>8</v>
      </c>
      <c r="E24">
        <v>-614.92971999999997</v>
      </c>
      <c r="F24">
        <v>0.24428842000000001</v>
      </c>
      <c r="G24">
        <v>0.19242783999999999</v>
      </c>
      <c r="H24">
        <v>-616.04358632707897</v>
      </c>
      <c r="I24">
        <f t="shared" ref="I24" si="8">H24+F24</f>
        <v>-615.79929790707899</v>
      </c>
      <c r="J24">
        <f>H24+G24+($M$1/627.5)</f>
        <v>-615.84813872589916</v>
      </c>
      <c r="L24" s="19">
        <f>627.5*(H24-H18-H17)</f>
        <v>9.5234942996424365</v>
      </c>
    </row>
    <row r="25" spans="1:16">
      <c r="A25" s="20"/>
      <c r="B25" s="2"/>
      <c r="C25" s="2"/>
      <c r="D25" s="2"/>
      <c r="L25" s="19"/>
    </row>
    <row r="26" spans="1:16">
      <c r="A26" s="20"/>
      <c r="B26" s="2"/>
      <c r="C26" s="2"/>
      <c r="D26" s="2"/>
    </row>
    <row r="28" spans="1:16">
      <c r="L28" s="9"/>
    </row>
    <row r="29" spans="1:16">
      <c r="L29" s="9"/>
    </row>
    <row r="31" spans="1:16" ht="35" customHeight="1">
      <c r="B31" s="14" t="s">
        <v>2</v>
      </c>
      <c r="C31" s="14" t="s">
        <v>43</v>
      </c>
      <c r="D31" s="14" t="s">
        <v>15</v>
      </c>
      <c r="E31" s="14" t="s">
        <v>7</v>
      </c>
      <c r="F31" s="14" t="s">
        <v>19</v>
      </c>
      <c r="G31" s="14" t="s">
        <v>16</v>
      </c>
      <c r="H31" s="15" t="s">
        <v>8</v>
      </c>
      <c r="I31" s="17" t="s">
        <v>20</v>
      </c>
      <c r="J31" s="27" t="s">
        <v>18</v>
      </c>
      <c r="M31" s="25" t="s">
        <v>53</v>
      </c>
    </row>
    <row r="32" spans="1:16" ht="19" hidden="1" customHeight="1">
      <c r="B32" s="26" t="s">
        <v>4</v>
      </c>
      <c r="C32" s="2" t="s">
        <v>44</v>
      </c>
      <c r="D32" s="31" t="s">
        <v>4</v>
      </c>
      <c r="E32">
        <v>-358.7849263</v>
      </c>
      <c r="F32">
        <v>7.5631890000010998E-2</v>
      </c>
      <c r="G32">
        <v>4.02314400000136E-2</v>
      </c>
      <c r="H32">
        <v>-359.45348742790202</v>
      </c>
      <c r="I32">
        <f t="shared" ref="I32:I42" si="9">H32+F32</f>
        <v>-359.37785553790201</v>
      </c>
      <c r="J32">
        <f t="shared" ref="J32:J42" si="10">H32+G32+($M$1/627.5)</f>
        <v>-359.41023622672225</v>
      </c>
      <c r="M32" s="36" t="s">
        <v>58</v>
      </c>
    </row>
    <row r="33" spans="1:14" hidden="1">
      <c r="B33" s="31" t="s">
        <v>4</v>
      </c>
      <c r="C33" s="26" t="s">
        <v>4</v>
      </c>
      <c r="D33" s="2" t="s">
        <v>46</v>
      </c>
      <c r="E33">
        <v>-229.59896036000001</v>
      </c>
      <c r="F33">
        <v>7.54371799999944E-2</v>
      </c>
      <c r="G33">
        <v>4.4579580000004101E-2</v>
      </c>
      <c r="H33">
        <v>-230.024006021503</v>
      </c>
      <c r="I33">
        <f t="shared" si="9"/>
        <v>-229.948568841503</v>
      </c>
      <c r="J33">
        <f t="shared" si="10"/>
        <v>-229.97640668032321</v>
      </c>
      <c r="M33" s="36"/>
    </row>
    <row r="34" spans="1:14" hidden="1">
      <c r="B34" s="2" t="s">
        <v>1</v>
      </c>
      <c r="C34" s="2" t="s">
        <v>44</v>
      </c>
      <c r="D34" s="26" t="s">
        <v>4</v>
      </c>
      <c r="E34">
        <v>-4186.2375717335199</v>
      </c>
      <c r="F34" s="28" t="s">
        <v>55</v>
      </c>
      <c r="G34" s="28"/>
      <c r="H34">
        <v>-4193.7048004196704</v>
      </c>
      <c r="I34" t="e">
        <f t="shared" si="9"/>
        <v>#VALUE!</v>
      </c>
      <c r="J34">
        <f>H34+G34+($M$1/627.5)</f>
        <v>-4193.7017806584909</v>
      </c>
      <c r="M34" s="36"/>
    </row>
    <row r="35" spans="1:14" hidden="1">
      <c r="A35" s="20" t="s">
        <v>48</v>
      </c>
      <c r="B35" s="2" t="s">
        <v>1</v>
      </c>
      <c r="C35" s="2" t="s">
        <v>44</v>
      </c>
      <c r="D35" s="2" t="s">
        <v>46</v>
      </c>
      <c r="E35">
        <v>-4415.8427737800002</v>
      </c>
      <c r="F35">
        <v>1.24141859000064</v>
      </c>
      <c r="G35">
        <v>1.0522412400005099</v>
      </c>
      <c r="H35">
        <v>-4423.7093197659497</v>
      </c>
      <c r="I35">
        <f t="shared" si="9"/>
        <v>-4422.467901175949</v>
      </c>
      <c r="J35">
        <f t="shared" si="10"/>
        <v>-4422.6540587647696</v>
      </c>
      <c r="M35" s="36"/>
      <c r="N35" s="4"/>
    </row>
    <row r="36" spans="1:14" hidden="1">
      <c r="A36" s="20" t="s">
        <v>48</v>
      </c>
      <c r="B36" s="2" t="s">
        <v>4</v>
      </c>
      <c r="C36" s="2" t="s">
        <v>44</v>
      </c>
      <c r="D36" s="2" t="s">
        <v>46</v>
      </c>
      <c r="E36">
        <v>-588.37291831000005</v>
      </c>
      <c r="F36">
        <v>0.15210059000003101</v>
      </c>
      <c r="G36">
        <v>0.10811046000003401</v>
      </c>
      <c r="H36">
        <v>-589.45395691707404</v>
      </c>
      <c r="I36">
        <f t="shared" si="9"/>
        <v>-589.30185632707401</v>
      </c>
      <c r="J36">
        <f t="shared" si="10"/>
        <v>-589.34282669589425</v>
      </c>
      <c r="M36" s="36"/>
    </row>
    <row r="37" spans="1:14">
      <c r="M37" s="4"/>
    </row>
    <row r="38" spans="1:14">
      <c r="B38" s="31" t="s">
        <v>4</v>
      </c>
      <c r="C38" s="2" t="s">
        <v>45</v>
      </c>
      <c r="D38" s="31" t="s">
        <v>4</v>
      </c>
      <c r="E38">
        <v>-533.36440739</v>
      </c>
      <c r="F38">
        <v>0.151459130000034</v>
      </c>
      <c r="G38">
        <v>0.103114819999973</v>
      </c>
      <c r="H38">
        <v>-534.35379168160603</v>
      </c>
      <c r="I38">
        <f t="shared" si="9"/>
        <v>-534.20233255160599</v>
      </c>
      <c r="J38">
        <f t="shared" si="10"/>
        <v>-534.2476571004263</v>
      </c>
      <c r="M38" s="4"/>
    </row>
    <row r="39" spans="1:14">
      <c r="B39" s="2" t="s">
        <v>4</v>
      </c>
      <c r="C39" s="2" t="s">
        <v>4</v>
      </c>
      <c r="D39" s="2" t="s">
        <v>47</v>
      </c>
      <c r="E39">
        <v>-193.73544294000001</v>
      </c>
      <c r="F39">
        <v>9.7968960000002797E-2</v>
      </c>
      <c r="G39">
        <v>6.7293410000019094E-2</v>
      </c>
      <c r="H39">
        <v>-194.08979283715601</v>
      </c>
      <c r="I39">
        <f t="shared" si="9"/>
        <v>-193.99182387715601</v>
      </c>
      <c r="J39">
        <f t="shared" si="10"/>
        <v>-194.01947966597621</v>
      </c>
      <c r="M39" s="4"/>
    </row>
    <row r="40" spans="1:14">
      <c r="B40" s="2" t="s">
        <v>1</v>
      </c>
      <c r="C40" s="2" t="s">
        <v>45</v>
      </c>
      <c r="D40" s="26" t="s">
        <v>4</v>
      </c>
      <c r="E40">
        <v>-4360.8376088070499</v>
      </c>
      <c r="F40" s="28" t="s">
        <v>55</v>
      </c>
      <c r="G40" s="28"/>
      <c r="H40">
        <v>-4368.6102845326004</v>
      </c>
      <c r="I40" t="e">
        <f t="shared" si="9"/>
        <v>#VALUE!</v>
      </c>
      <c r="J40">
        <f t="shared" si="10"/>
        <v>-4368.6072647714209</v>
      </c>
      <c r="M40" s="4"/>
    </row>
    <row r="41" spans="1:14">
      <c r="A41" s="20" t="s">
        <v>48</v>
      </c>
      <c r="B41" s="2" t="s">
        <v>1</v>
      </c>
      <c r="C41" s="2" t="s">
        <v>45</v>
      </c>
      <c r="D41" s="2" t="s">
        <v>47</v>
      </c>
      <c r="E41" s="28" t="s">
        <v>49</v>
      </c>
      <c r="F41" s="28" t="s">
        <v>54</v>
      </c>
      <c r="G41" s="28"/>
      <c r="H41" s="29"/>
      <c r="I41" t="e">
        <f t="shared" si="9"/>
        <v>#VALUE!</v>
      </c>
      <c r="J41">
        <f t="shared" si="10"/>
        <v>3.0197611797806788E-3</v>
      </c>
      <c r="M41" s="4"/>
    </row>
    <row r="42" spans="1:14">
      <c r="A42" s="20" t="s">
        <v>48</v>
      </c>
      <c r="B42" s="2" t="s">
        <v>4</v>
      </c>
      <c r="C42" s="2" t="s">
        <v>45</v>
      </c>
      <c r="D42" s="2" t="s">
        <v>47</v>
      </c>
      <c r="E42">
        <v>-727.09519804000001</v>
      </c>
      <c r="F42">
        <v>0.25090531000000699</v>
      </c>
      <c r="G42">
        <v>0.194243860000028</v>
      </c>
      <c r="H42">
        <v>-728.41939513707098</v>
      </c>
      <c r="I42">
        <f t="shared" si="9"/>
        <v>-728.16848982707097</v>
      </c>
      <c r="J42">
        <f t="shared" si="10"/>
        <v>-728.22213151589119</v>
      </c>
      <c r="M42" s="4"/>
    </row>
  </sheetData>
  <mergeCells count="1">
    <mergeCell ref="M32:M3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96CC-81B5-3541-8D1F-7388AE8191F1}">
  <dimension ref="A1:O85"/>
  <sheetViews>
    <sheetView tabSelected="1" topLeftCell="E1" zoomScale="132" zoomScaleNormal="150" workbookViewId="0">
      <selection activeCell="K79" sqref="K79"/>
    </sheetView>
  </sheetViews>
  <sheetFormatPr baseColWidth="10" defaultRowHeight="16"/>
  <cols>
    <col min="1" max="1" width="12.6640625" customWidth="1"/>
    <col min="2" max="2" width="14.5" bestFit="1" customWidth="1"/>
    <col min="3" max="3" width="14.5" customWidth="1"/>
    <col min="4" max="4" width="13.5" customWidth="1"/>
    <col min="5" max="5" width="23.1640625" customWidth="1"/>
    <col min="6" max="6" width="11.33203125" customWidth="1"/>
    <col min="7" max="7" width="18.5" customWidth="1"/>
    <col min="8" max="9" width="16.33203125" bestFit="1" customWidth="1"/>
    <col min="10" max="10" width="17.83203125" customWidth="1"/>
  </cols>
  <sheetData>
    <row r="1" spans="1:15" ht="19">
      <c r="A1" s="1" t="s">
        <v>14</v>
      </c>
      <c r="F1" t="s">
        <v>5</v>
      </c>
    </row>
    <row r="2" spans="1:15">
      <c r="F2" t="s">
        <v>6</v>
      </c>
    </row>
    <row r="5" spans="1:15">
      <c r="A5" s="38" t="s">
        <v>13</v>
      </c>
      <c r="B5" s="38"/>
      <c r="C5" s="38"/>
      <c r="D5" s="38"/>
      <c r="E5" s="38"/>
      <c r="F5" s="38"/>
      <c r="G5" s="38"/>
      <c r="H5" s="38"/>
      <c r="I5" s="3"/>
      <c r="J5" s="3"/>
      <c r="K5" s="3"/>
      <c r="L5" s="3"/>
      <c r="M5" s="3"/>
      <c r="N5" s="3"/>
    </row>
    <row r="6" spans="1:15" ht="20">
      <c r="A6" s="5" t="s">
        <v>2</v>
      </c>
      <c r="B6" s="5" t="s">
        <v>3</v>
      </c>
      <c r="C6" s="5" t="s">
        <v>15</v>
      </c>
      <c r="D6" s="6" t="s">
        <v>7</v>
      </c>
      <c r="E6" s="6" t="s">
        <v>8</v>
      </c>
      <c r="G6" t="s">
        <v>34</v>
      </c>
      <c r="H6" t="s">
        <v>35</v>
      </c>
      <c r="I6" t="s">
        <v>36</v>
      </c>
      <c r="O6" s="5"/>
    </row>
    <row r="7" spans="1:15">
      <c r="A7" s="2" t="s">
        <v>0</v>
      </c>
      <c r="B7" s="39" t="s">
        <v>4</v>
      </c>
      <c r="C7" s="39" t="s">
        <v>4</v>
      </c>
      <c r="D7">
        <v>-3763.37049083596</v>
      </c>
      <c r="E7">
        <v>-3770.0938792572802</v>
      </c>
      <c r="G7" s="4"/>
      <c r="H7" s="9"/>
      <c r="L7" s="9"/>
      <c r="M7" s="4"/>
      <c r="N7" s="4"/>
      <c r="O7" s="7"/>
    </row>
    <row r="8" spans="1:15">
      <c r="A8" s="2" t="s">
        <v>1</v>
      </c>
      <c r="B8" s="39"/>
      <c r="C8" s="39"/>
      <c r="D8">
        <v>-3827.3915763509899</v>
      </c>
      <c r="E8">
        <v>-3834.2480984259701</v>
      </c>
      <c r="G8" s="4"/>
      <c r="H8" s="9"/>
      <c r="L8" s="9"/>
      <c r="M8" s="4"/>
      <c r="N8" s="4"/>
      <c r="O8" s="7"/>
    </row>
    <row r="9" spans="1:15">
      <c r="A9" s="2"/>
      <c r="B9" s="2"/>
      <c r="C9" s="2"/>
      <c r="G9" s="4"/>
      <c r="H9" s="9"/>
      <c r="L9" s="9"/>
      <c r="M9" s="4"/>
      <c r="N9" s="4"/>
      <c r="O9" s="7"/>
    </row>
    <row r="10" spans="1:15">
      <c r="A10" s="39" t="s">
        <v>4</v>
      </c>
      <c r="B10" s="2">
        <v>1</v>
      </c>
      <c r="C10" s="39" t="s">
        <v>4</v>
      </c>
      <c r="D10">
        <v>-380.75203560921</v>
      </c>
      <c r="E10">
        <v>-381.45965465520402</v>
      </c>
      <c r="G10" s="4"/>
      <c r="H10" s="9"/>
      <c r="L10" s="9"/>
      <c r="M10" s="4"/>
      <c r="N10" s="4"/>
      <c r="O10" s="7"/>
    </row>
    <row r="11" spans="1:15">
      <c r="A11" s="39"/>
      <c r="B11" s="2">
        <v>12</v>
      </c>
      <c r="C11" s="39"/>
      <c r="D11">
        <v>-420.00206539281902</v>
      </c>
      <c r="E11">
        <v>-420.77593821366497</v>
      </c>
      <c r="G11" s="4"/>
      <c r="H11" s="9"/>
      <c r="L11" s="9"/>
      <c r="M11" s="4"/>
      <c r="N11" s="4"/>
      <c r="O11" s="7"/>
    </row>
    <row r="12" spans="1:15">
      <c r="A12" s="39"/>
      <c r="B12" s="2">
        <v>14</v>
      </c>
      <c r="C12" s="39"/>
      <c r="D12">
        <v>-534.14134477459697</v>
      </c>
      <c r="E12">
        <v>-535.11843383424196</v>
      </c>
      <c r="G12" s="4"/>
      <c r="H12" s="9"/>
      <c r="L12" s="9"/>
      <c r="M12" s="4"/>
      <c r="N12" s="4"/>
      <c r="O12" s="7"/>
    </row>
    <row r="13" spans="1:15">
      <c r="A13" s="39"/>
      <c r="B13" s="2">
        <v>15</v>
      </c>
      <c r="C13" s="39"/>
      <c r="D13">
        <v>-459.251704432054</v>
      </c>
      <c r="E13">
        <v>-460.091418388362</v>
      </c>
      <c r="G13" s="4"/>
      <c r="H13" s="9"/>
      <c r="L13" s="9"/>
      <c r="M13" s="4"/>
      <c r="N13" s="4"/>
      <c r="O13" s="7"/>
    </row>
    <row r="14" spans="1:15">
      <c r="A14" s="39"/>
      <c r="B14" s="2">
        <v>16</v>
      </c>
      <c r="C14" s="39"/>
      <c r="D14">
        <v>-573.39150085994299</v>
      </c>
      <c r="E14">
        <v>-574.43454298286804</v>
      </c>
      <c r="G14" s="4"/>
      <c r="H14" s="9"/>
      <c r="L14" s="9"/>
      <c r="M14" s="4"/>
      <c r="N14" s="4"/>
      <c r="O14" s="7"/>
    </row>
    <row r="15" spans="1:15">
      <c r="A15" s="39"/>
      <c r="B15" s="2">
        <v>21</v>
      </c>
      <c r="C15" s="39"/>
      <c r="D15">
        <v>-537.72155050041704</v>
      </c>
      <c r="E15">
        <v>-538.69804063052902</v>
      </c>
      <c r="G15" s="4"/>
      <c r="H15" s="9"/>
      <c r="L15" s="9"/>
      <c r="M15" s="4"/>
      <c r="N15" s="4"/>
      <c r="O15" s="7"/>
    </row>
    <row r="16" spans="1:15">
      <c r="A16" s="39"/>
      <c r="B16" s="2" t="s">
        <v>9</v>
      </c>
      <c r="C16" s="39"/>
      <c r="D16">
        <v>-687.53040340629502</v>
      </c>
      <c r="E16">
        <v>-688.77660096363195</v>
      </c>
      <c r="G16" s="4"/>
      <c r="H16" s="9"/>
      <c r="L16" s="9"/>
      <c r="M16" s="4"/>
      <c r="N16" s="4"/>
      <c r="O16" s="7"/>
    </row>
    <row r="17" spans="1:15">
      <c r="A17" s="39"/>
      <c r="B17" s="2" t="s">
        <v>12</v>
      </c>
      <c r="C17" s="39"/>
      <c r="D17">
        <v>-994.26674813387694</v>
      </c>
      <c r="E17">
        <v>-996.05653449609395</v>
      </c>
      <c r="G17" s="4"/>
      <c r="H17" s="9"/>
      <c r="L17" s="9"/>
      <c r="M17" s="4"/>
      <c r="N17" s="4"/>
      <c r="O17" s="7"/>
    </row>
    <row r="18" spans="1:15">
      <c r="A18" s="39"/>
      <c r="B18" s="2" t="s">
        <v>10</v>
      </c>
      <c r="C18" s="39"/>
      <c r="D18">
        <v>-458.05123499376401</v>
      </c>
      <c r="E18">
        <v>-458.891951344787</v>
      </c>
      <c r="G18" s="4"/>
      <c r="H18" s="9"/>
      <c r="L18" s="9"/>
      <c r="M18" s="4"/>
      <c r="N18" s="4"/>
      <c r="O18" s="7"/>
    </row>
    <row r="19" spans="1:15">
      <c r="A19" s="39"/>
      <c r="B19" s="2" t="s">
        <v>11</v>
      </c>
      <c r="C19" s="39"/>
      <c r="D19">
        <v>-549.07256491818498</v>
      </c>
      <c r="E19">
        <v>-550.07678426816096</v>
      </c>
      <c r="G19" s="4"/>
      <c r="H19" s="9"/>
      <c r="L19" s="9"/>
      <c r="M19" s="4"/>
      <c r="N19" s="4"/>
      <c r="O19" s="7"/>
    </row>
    <row r="20" spans="1:15">
      <c r="A20" s="11"/>
      <c r="B20" s="2"/>
      <c r="C20" s="11"/>
      <c r="G20" s="4"/>
      <c r="H20" s="9"/>
      <c r="L20" s="9"/>
      <c r="M20" s="4"/>
      <c r="N20" s="4"/>
      <c r="O20" s="10"/>
    </row>
    <row r="21" spans="1:15">
      <c r="A21" s="39" t="s">
        <v>4</v>
      </c>
      <c r="B21" s="39" t="s">
        <v>4</v>
      </c>
      <c r="C21" s="2">
        <v>2</v>
      </c>
      <c r="D21">
        <v>-194.92610022</v>
      </c>
      <c r="E21">
        <v>-195.28213581897</v>
      </c>
      <c r="H21" s="9"/>
      <c r="L21" s="9"/>
      <c r="M21" s="4"/>
      <c r="N21" s="4"/>
      <c r="O21" s="10"/>
    </row>
    <row r="22" spans="1:15">
      <c r="A22" s="39"/>
      <c r="B22" s="39"/>
      <c r="C22" s="2">
        <v>3</v>
      </c>
      <c r="D22">
        <v>-193.73544294000001</v>
      </c>
      <c r="E22">
        <v>-194.08979283715601</v>
      </c>
      <c r="H22" s="9"/>
      <c r="L22" s="9"/>
      <c r="M22" s="4"/>
      <c r="N22" s="4"/>
      <c r="O22" s="10"/>
    </row>
    <row r="23" spans="1:15">
      <c r="A23" s="39"/>
      <c r="B23" s="39"/>
      <c r="C23" s="2">
        <v>4</v>
      </c>
      <c r="D23">
        <v>-232.97967306000001</v>
      </c>
      <c r="E23">
        <v>-233.40091633867601</v>
      </c>
      <c r="H23" s="9"/>
      <c r="L23" s="9"/>
      <c r="M23" s="4"/>
      <c r="N23" s="4"/>
      <c r="O23" s="10"/>
    </row>
    <row r="24" spans="1:15">
      <c r="A24" s="39"/>
      <c r="B24" s="39"/>
      <c r="C24" s="2">
        <v>8</v>
      </c>
      <c r="D24">
        <v>-194.92694682999999</v>
      </c>
      <c r="E24">
        <v>-195.28282499676001</v>
      </c>
      <c r="H24" s="9"/>
      <c r="L24" s="9"/>
      <c r="M24" s="4"/>
      <c r="N24" s="4"/>
      <c r="O24" s="10"/>
    </row>
    <row r="25" spans="1:15">
      <c r="A25" s="39"/>
      <c r="B25" s="39"/>
      <c r="C25" s="2">
        <v>9</v>
      </c>
      <c r="D25">
        <v>-311.46065004000002</v>
      </c>
      <c r="E25">
        <v>-312.01712470149801</v>
      </c>
      <c r="H25" s="9"/>
      <c r="L25" s="9"/>
      <c r="M25" s="4"/>
      <c r="N25" s="4"/>
      <c r="O25" s="10"/>
    </row>
    <row r="26" spans="1:15">
      <c r="A26" s="11"/>
      <c r="B26" s="2"/>
      <c r="C26" s="11"/>
      <c r="G26" s="4"/>
      <c r="H26" s="9"/>
      <c r="L26" s="9"/>
      <c r="M26" s="4"/>
      <c r="N26" s="4"/>
      <c r="O26" s="10"/>
    </row>
    <row r="27" spans="1:15">
      <c r="A27" s="2"/>
      <c r="B27" s="2"/>
      <c r="C27" s="2"/>
      <c r="G27" s="4"/>
      <c r="H27" s="9"/>
      <c r="L27" s="9"/>
      <c r="M27" s="4"/>
      <c r="N27" s="4"/>
      <c r="O27" s="7"/>
    </row>
    <row r="28" spans="1:15">
      <c r="A28" s="39" t="s">
        <v>0</v>
      </c>
      <c r="B28" s="2">
        <v>1</v>
      </c>
      <c r="C28" s="39" t="s">
        <v>4</v>
      </c>
      <c r="D28">
        <v>-4144.17909498069</v>
      </c>
      <c r="E28">
        <v>-4151.5598354342101</v>
      </c>
      <c r="G28" s="4">
        <f>627.5*(E28-E10-$E$7)</f>
        <v>-3.9542048831106058</v>
      </c>
      <c r="H28" s="9"/>
      <c r="J28" s="9"/>
      <c r="K28" s="9"/>
      <c r="L28" s="9"/>
      <c r="M28" s="4"/>
      <c r="N28" s="4"/>
      <c r="O28" s="7"/>
    </row>
    <row r="29" spans="1:15">
      <c r="A29" s="39"/>
      <c r="B29" s="2">
        <v>12</v>
      </c>
      <c r="C29" s="39"/>
      <c r="D29">
        <v>-4183.4348762933396</v>
      </c>
      <c r="E29">
        <v>-4190.87832283436</v>
      </c>
      <c r="G29" s="4">
        <f t="shared" ref="G29:G37" si="0">627.5*(E29-E11-$E$7)</f>
        <v>-5.3371155427680605</v>
      </c>
      <c r="H29" s="9"/>
      <c r="J29" s="9"/>
      <c r="K29" s="9"/>
      <c r="M29" s="4"/>
      <c r="N29" s="4"/>
      <c r="O29" s="7"/>
    </row>
    <row r="30" spans="1:15">
      <c r="A30" s="39"/>
      <c r="B30" s="2">
        <v>14</v>
      </c>
      <c r="C30" s="39"/>
      <c r="D30">
        <v>-4297.5842759540401</v>
      </c>
      <c r="E30">
        <v>-4305.2242891191399</v>
      </c>
      <c r="G30" s="4">
        <f t="shared" si="0"/>
        <v>-7.5149573302621775</v>
      </c>
      <c r="H30" s="9"/>
      <c r="J30" s="9"/>
      <c r="K30" s="9"/>
      <c r="L30" s="9"/>
      <c r="M30" s="4"/>
      <c r="N30" s="4"/>
      <c r="O30" s="7"/>
    </row>
    <row r="31" spans="1:15">
      <c r="A31" s="39"/>
      <c r="B31" s="2">
        <v>15</v>
      </c>
      <c r="C31" s="39"/>
      <c r="D31">
        <v>-4222.69069731544</v>
      </c>
      <c r="E31">
        <v>-4230.1960934651597</v>
      </c>
      <c r="G31" s="4">
        <f t="shared" si="0"/>
        <v>-6.774376747309816</v>
      </c>
      <c r="H31" s="9"/>
      <c r="J31" s="9"/>
      <c r="K31" s="9"/>
      <c r="M31" s="4"/>
      <c r="N31" s="4"/>
      <c r="O31" s="7"/>
    </row>
    <row r="32" spans="1:15">
      <c r="A32" s="39"/>
      <c r="B32" s="2">
        <v>16</v>
      </c>
      <c r="C32" s="39"/>
      <c r="D32">
        <v>-4336.8391028712404</v>
      </c>
      <c r="E32">
        <v>-4344.5417422260198</v>
      </c>
      <c r="G32" s="4">
        <f t="shared" si="0"/>
        <v>-8.3582911343512478</v>
      </c>
      <c r="H32" s="9"/>
      <c r="J32" s="9"/>
      <c r="K32" s="9"/>
      <c r="M32" s="4"/>
      <c r="N32" s="4"/>
      <c r="O32" s="7"/>
    </row>
    <row r="33" spans="1:15">
      <c r="A33" s="39"/>
      <c r="B33" s="2">
        <v>21</v>
      </c>
      <c r="C33" s="39"/>
      <c r="D33">
        <v>-4301.1396139060598</v>
      </c>
      <c r="E33">
        <v>-4308.7789384084999</v>
      </c>
      <c r="G33" s="4">
        <f t="shared" si="0"/>
        <v>8.1458782666948082</v>
      </c>
      <c r="H33" s="9"/>
      <c r="J33" s="9"/>
      <c r="K33" s="9"/>
      <c r="M33" s="4"/>
      <c r="N33" s="4"/>
      <c r="O33" s="7"/>
    </row>
    <row r="34" spans="1:15">
      <c r="A34" s="39"/>
      <c r="B34" s="2" t="s">
        <v>9</v>
      </c>
      <c r="C34" s="39"/>
      <c r="D34">
        <v>-4450.9865602437203</v>
      </c>
      <c r="E34">
        <v>-4458.88566904867</v>
      </c>
      <c r="G34" s="4">
        <f t="shared" si="0"/>
        <v>-9.5309894180263655</v>
      </c>
      <c r="H34" s="9"/>
      <c r="J34" s="9"/>
      <c r="K34" s="9"/>
      <c r="L34" s="9"/>
      <c r="M34" s="4"/>
      <c r="N34" s="4"/>
      <c r="O34" s="7"/>
    </row>
    <row r="35" spans="1:15">
      <c r="A35" s="39"/>
      <c r="B35" s="2" t="s">
        <v>12</v>
      </c>
      <c r="C35" s="39"/>
      <c r="D35">
        <v>-4757.7530133538803</v>
      </c>
      <c r="E35">
        <v>-4766.17372894243</v>
      </c>
      <c r="G35" s="4">
        <f t="shared" si="0"/>
        <v>-14.630281132430127</v>
      </c>
      <c r="H35" s="9"/>
      <c r="J35" s="9"/>
      <c r="K35" s="9"/>
      <c r="L35" s="9"/>
      <c r="M35" s="4"/>
      <c r="N35" s="4"/>
      <c r="O35" s="7"/>
    </row>
    <row r="36" spans="1:15">
      <c r="A36" s="39"/>
      <c r="B36" s="2" t="s">
        <v>10</v>
      </c>
      <c r="C36" s="39"/>
      <c r="D36">
        <v>-4221.4863884866099</v>
      </c>
      <c r="E36">
        <v>-4228.9995718267301</v>
      </c>
      <c r="G36" s="4">
        <f t="shared" si="0"/>
        <v>-8.6226184758322688</v>
      </c>
      <c r="H36" s="9"/>
      <c r="J36" s="9"/>
      <c r="K36" s="9"/>
      <c r="L36" s="9"/>
      <c r="M36" s="4"/>
      <c r="N36" s="4"/>
      <c r="O36" s="7"/>
    </row>
    <row r="37" spans="1:15">
      <c r="A37" s="39"/>
      <c r="B37" s="2" t="s">
        <v>11</v>
      </c>
      <c r="C37" s="39"/>
      <c r="D37">
        <v>-4312.5075581090996</v>
      </c>
      <c r="E37">
        <v>-4320.1786466154299</v>
      </c>
      <c r="G37" s="4">
        <f t="shared" si="0"/>
        <v>-5.0093889681045312</v>
      </c>
      <c r="H37" s="9"/>
      <c r="J37" s="9"/>
      <c r="K37" s="9"/>
      <c r="L37" s="9"/>
      <c r="M37" s="4"/>
      <c r="N37" s="4"/>
      <c r="O37" s="7"/>
    </row>
    <row r="38" spans="1:15">
      <c r="A38" s="2"/>
      <c r="B38" s="2"/>
      <c r="C38" s="2"/>
      <c r="G38" s="4"/>
      <c r="H38" s="9"/>
      <c r="J38" s="9"/>
      <c r="K38" s="9"/>
      <c r="M38" s="4"/>
      <c r="N38" s="4"/>
      <c r="O38" s="7"/>
    </row>
    <row r="39" spans="1:15">
      <c r="A39" s="2"/>
      <c r="B39" s="2"/>
      <c r="C39" s="2"/>
      <c r="G39" s="4"/>
      <c r="H39" s="9"/>
      <c r="J39" s="9"/>
      <c r="K39" s="9"/>
      <c r="M39" s="4"/>
      <c r="N39" s="4"/>
      <c r="O39" s="7"/>
    </row>
    <row r="40" spans="1:15">
      <c r="A40" s="39" t="s">
        <v>1</v>
      </c>
      <c r="B40" s="2">
        <v>1</v>
      </c>
      <c r="C40" s="39" t="s">
        <v>4</v>
      </c>
      <c r="D40">
        <v>-4208.21346482636</v>
      </c>
      <c r="E40">
        <v>-4215.71307067815</v>
      </c>
      <c r="G40" s="4">
        <f>627.5*(E40-E10-$E$8)</f>
        <v>-3.3367921024751013</v>
      </c>
      <c r="H40" s="24">
        <v>1</v>
      </c>
      <c r="J40" s="9"/>
      <c r="K40" s="9"/>
      <c r="L40" s="9"/>
      <c r="M40" s="4"/>
      <c r="N40" s="4"/>
      <c r="O40" s="7"/>
    </row>
    <row r="41" spans="1:15">
      <c r="A41" s="39"/>
      <c r="B41" s="2">
        <v>12</v>
      </c>
      <c r="C41" s="39"/>
      <c r="D41">
        <v>-4247.4639157558604</v>
      </c>
      <c r="E41">
        <v>-4255.0324247220897</v>
      </c>
      <c r="G41" s="4">
        <f t="shared" ref="G41:G49" si="1">627.5*(E41-E11-$E$8)</f>
        <v>-5.2635217402178114</v>
      </c>
      <c r="H41" s="24">
        <v>5</v>
      </c>
      <c r="J41" s="9"/>
      <c r="K41" s="9"/>
      <c r="L41" s="9"/>
      <c r="M41" s="4"/>
      <c r="N41" s="4"/>
      <c r="O41" s="7"/>
    </row>
    <row r="42" spans="1:15">
      <c r="A42" s="39"/>
      <c r="B42" s="2">
        <v>14</v>
      </c>
      <c r="C42" s="39"/>
      <c r="D42">
        <v>-4361.60861915845</v>
      </c>
      <c r="E42">
        <v>-4369.3762395293697</v>
      </c>
      <c r="G42" s="4">
        <f t="shared" si="1"/>
        <v>-6.0913113965466437</v>
      </c>
      <c r="H42" s="24">
        <v>2</v>
      </c>
      <c r="J42" s="9"/>
      <c r="K42" s="9"/>
      <c r="L42" s="9"/>
      <c r="M42" s="4"/>
      <c r="N42" s="4"/>
      <c r="O42" s="7"/>
    </row>
    <row r="43" spans="1:15">
      <c r="A43" s="39"/>
      <c r="B43" s="2">
        <v>15</v>
      </c>
      <c r="C43" s="39"/>
      <c r="D43">
        <v>-4286.7200810114</v>
      </c>
      <c r="E43">
        <v>-4294.3500375350704</v>
      </c>
      <c r="G43" s="4">
        <f t="shared" si="1"/>
        <v>-6.6017522633717363</v>
      </c>
      <c r="H43" s="24">
        <v>6</v>
      </c>
      <c r="J43" s="9"/>
      <c r="K43" s="9"/>
      <c r="L43" s="9"/>
      <c r="M43" s="4"/>
      <c r="N43" s="4"/>
      <c r="O43" s="7"/>
    </row>
    <row r="44" spans="1:15">
      <c r="A44" s="39"/>
      <c r="B44" s="2">
        <v>16</v>
      </c>
      <c r="C44" s="39"/>
      <c r="D44">
        <v>-4400.8638821454597</v>
      </c>
      <c r="E44">
        <v>-4408.6929182507802</v>
      </c>
      <c r="G44" s="4">
        <f t="shared" si="1"/>
        <v>-6.4487183185792674</v>
      </c>
      <c r="H44" s="24">
        <v>7</v>
      </c>
      <c r="J44" s="9"/>
      <c r="K44" s="9"/>
      <c r="L44" s="9"/>
      <c r="M44" s="4"/>
      <c r="N44" s="4"/>
      <c r="O44" s="7"/>
    </row>
    <row r="45" spans="1:15">
      <c r="A45" s="39"/>
      <c r="B45" s="2">
        <v>21</v>
      </c>
      <c r="C45" s="39"/>
      <c r="D45">
        <v>-4365.1765205685997</v>
      </c>
      <c r="E45">
        <v>-4372.9380314764103</v>
      </c>
      <c r="G45" s="4">
        <f t="shared" si="1"/>
        <v>5.0875065058585278</v>
      </c>
      <c r="H45" s="24">
        <v>8</v>
      </c>
      <c r="J45" s="9"/>
      <c r="K45" s="9"/>
      <c r="L45" s="9"/>
      <c r="M45" s="4"/>
      <c r="N45" s="4"/>
      <c r="O45" s="7"/>
    </row>
    <row r="46" spans="1:15">
      <c r="A46" s="39"/>
      <c r="B46" s="2" t="s">
        <v>9</v>
      </c>
      <c r="C46" s="39"/>
      <c r="D46">
        <v>-4515.0070720835702</v>
      </c>
      <c r="E46">
        <v>-4523.0354966904197</v>
      </c>
      <c r="G46" s="4">
        <f t="shared" si="1"/>
        <v>-6.7753062630174554</v>
      </c>
      <c r="H46" s="24">
        <v>3</v>
      </c>
      <c r="J46" s="9"/>
      <c r="K46" s="9"/>
      <c r="L46" s="9"/>
      <c r="M46" s="4"/>
      <c r="N46" s="4"/>
      <c r="O46" s="8"/>
    </row>
    <row r="47" spans="1:15">
      <c r="A47" s="39"/>
      <c r="B47" s="2" t="s">
        <v>12</v>
      </c>
      <c r="C47" s="39"/>
      <c r="D47">
        <v>-4821.7702679354297</v>
      </c>
      <c r="E47">
        <v>-4830.3225268026799</v>
      </c>
      <c r="G47" s="4">
        <f t="shared" si="1"/>
        <v>-11.228410086353051</v>
      </c>
      <c r="H47" s="24">
        <v>4</v>
      </c>
      <c r="J47" s="9"/>
      <c r="K47" s="9"/>
      <c r="L47" s="9"/>
      <c r="M47" s="4"/>
      <c r="N47" s="4"/>
      <c r="O47" s="8"/>
    </row>
    <row r="48" spans="1:15">
      <c r="A48" s="39"/>
      <c r="B48" s="2" t="s">
        <v>10</v>
      </c>
      <c r="C48" s="39"/>
      <c r="D48">
        <v>-4285.5116995704302</v>
      </c>
      <c r="E48">
        <v>-4293.1513520889202</v>
      </c>
      <c r="G48" s="4">
        <f t="shared" si="1"/>
        <v>-7.0922046472583133</v>
      </c>
      <c r="H48" s="24">
        <v>9</v>
      </c>
      <c r="J48" s="9"/>
      <c r="K48" s="9"/>
      <c r="M48" s="4"/>
      <c r="N48" s="4"/>
      <c r="O48" s="7"/>
    </row>
    <row r="49" spans="1:15">
      <c r="A49" s="39"/>
      <c r="B49" s="2" t="s">
        <v>11</v>
      </c>
      <c r="C49" s="39"/>
      <c r="D49">
        <v>-4376.5308770595902</v>
      </c>
      <c r="E49">
        <v>-4384.3302812402198</v>
      </c>
      <c r="G49" s="4">
        <f t="shared" si="1"/>
        <v>-3.3875876708816577</v>
      </c>
      <c r="H49" s="24">
        <v>10</v>
      </c>
      <c r="J49" s="9"/>
      <c r="K49" s="9"/>
      <c r="M49" s="4"/>
      <c r="N49" s="4"/>
    </row>
    <row r="50" spans="1:15">
      <c r="A50" s="2"/>
      <c r="B50" s="2"/>
      <c r="C50" s="2"/>
    </row>
    <row r="51" spans="1:15">
      <c r="A51" s="2"/>
      <c r="B51" s="2"/>
      <c r="C51" s="2"/>
    </row>
    <row r="52" spans="1:15">
      <c r="A52" s="39" t="s">
        <v>0</v>
      </c>
      <c r="B52" s="21">
        <v>1</v>
      </c>
      <c r="C52" s="2">
        <v>2</v>
      </c>
      <c r="D52">
        <v>-4339.1213254848399</v>
      </c>
      <c r="E52">
        <v>-4346.8264771621798</v>
      </c>
      <c r="G52" s="4">
        <f>627.5*(E52-E28-E21)</f>
        <v>9.7225421026743675</v>
      </c>
      <c r="H52" s="4">
        <f>G76-G52</f>
        <v>0.16877147176117546</v>
      </c>
      <c r="I52" s="12" t="s">
        <v>37</v>
      </c>
      <c r="N52" s="23"/>
      <c r="O52" s="2"/>
    </row>
    <row r="53" spans="1:15">
      <c r="A53" s="39"/>
      <c r="B53" s="21">
        <v>1</v>
      </c>
      <c r="C53" s="2">
        <v>3</v>
      </c>
      <c r="D53">
        <v>-4337.9325493156402</v>
      </c>
      <c r="E53">
        <v>-4345.6309210009304</v>
      </c>
      <c r="F53" s="4"/>
      <c r="G53" s="4">
        <f>627.5*(E53-E28-E22)</f>
        <v>11.738812198418245</v>
      </c>
      <c r="H53" s="4">
        <f t="shared" ref="H53:H61" si="2">G77-G53</f>
        <v>-2.3367830223543962</v>
      </c>
      <c r="I53" s="12" t="s">
        <v>37</v>
      </c>
      <c r="N53" s="23"/>
      <c r="O53" s="2"/>
    </row>
    <row r="54" spans="1:15">
      <c r="A54" s="39"/>
      <c r="B54" s="21">
        <v>1</v>
      </c>
      <c r="C54" s="2">
        <v>4</v>
      </c>
      <c r="D54">
        <v>-4377.1766790147503</v>
      </c>
      <c r="E54">
        <v>-4384.94151908398</v>
      </c>
      <c r="F54" s="4"/>
      <c r="G54" s="4">
        <f>627.5*(E54-E28-E23)</f>
        <v>12.068512288578219</v>
      </c>
      <c r="H54" s="4">
        <f t="shared" si="2"/>
        <v>0.91027478775366433</v>
      </c>
      <c r="I54" s="12" t="s">
        <v>37</v>
      </c>
      <c r="N54" s="23"/>
      <c r="O54" s="2"/>
    </row>
    <row r="55" spans="1:15">
      <c r="A55" s="39"/>
      <c r="B55" s="21">
        <v>1</v>
      </c>
      <c r="C55" s="2">
        <v>9</v>
      </c>
      <c r="D55">
        <v>-4455.66184636462</v>
      </c>
      <c r="E55">
        <v>-4463.5601865343997</v>
      </c>
      <c r="G55" s="4">
        <f>627.5*(E55-E28-E25)</f>
        <v>10.525434821012709</v>
      </c>
      <c r="H55" s="4">
        <f t="shared" si="2"/>
        <v>-1.3675149977935064</v>
      </c>
      <c r="I55" s="12" t="s">
        <v>37</v>
      </c>
      <c r="N55" s="23"/>
      <c r="O55" s="2"/>
    </row>
    <row r="56" spans="1:15">
      <c r="A56" s="39"/>
      <c r="B56" s="21">
        <v>12</v>
      </c>
      <c r="C56" s="2">
        <v>2</v>
      </c>
      <c r="D56">
        <v>-4378.3757095933297</v>
      </c>
      <c r="E56">
        <v>-4386.14272828085</v>
      </c>
      <c r="G56" s="4">
        <f>627.5*(E56-E29-E21)</f>
        <v>11.125808731237328</v>
      </c>
      <c r="H56" s="4">
        <f t="shared" si="2"/>
        <v>-1.1839081875993429</v>
      </c>
      <c r="I56" s="12" t="s">
        <v>37</v>
      </c>
      <c r="N56" s="23"/>
      <c r="O56" s="2"/>
    </row>
    <row r="57" spans="1:15">
      <c r="A57" s="39"/>
      <c r="B57" s="21">
        <v>12</v>
      </c>
      <c r="C57" s="2">
        <v>8</v>
      </c>
      <c r="D57">
        <v>-4378.3836854042102</v>
      </c>
      <c r="E57">
        <v>-4386.1497590189801</v>
      </c>
      <c r="G57" s="4">
        <f>627.5*(E57-E29-E24)</f>
        <v>7.1464796177685486</v>
      </c>
      <c r="H57" s="4">
        <f t="shared" si="2"/>
        <v>2.3771064963661814</v>
      </c>
      <c r="I57" s="12" t="s">
        <v>37</v>
      </c>
      <c r="N57" s="23"/>
      <c r="O57" s="2"/>
    </row>
    <row r="58" spans="1:15">
      <c r="A58" s="39"/>
      <c r="B58" s="21">
        <v>14</v>
      </c>
      <c r="C58" s="2">
        <v>3</v>
      </c>
      <c r="D58">
        <v>-4491.3330895509398</v>
      </c>
      <c r="E58">
        <v>-4499.29534631142</v>
      </c>
      <c r="G58" s="4">
        <f>627.5*(E58-E30-E22)</f>
        <v>11.756617159682818</v>
      </c>
      <c r="H58" s="4">
        <f t="shared" si="2"/>
        <v>-1.7868219895904502</v>
      </c>
      <c r="I58" s="12" t="s">
        <v>37</v>
      </c>
      <c r="N58" s="23"/>
      <c r="O58" s="2"/>
    </row>
    <row r="59" spans="1:15">
      <c r="A59" s="39"/>
      <c r="B59" s="21">
        <v>21</v>
      </c>
      <c r="C59" s="2">
        <v>2</v>
      </c>
      <c r="D59">
        <v>-4496.0803147244396</v>
      </c>
      <c r="E59">
        <v>-4504.0440714591396</v>
      </c>
      <c r="G59" s="4">
        <f>627.5*(E59-E33-E21)</f>
        <v>10.669237127308122</v>
      </c>
      <c r="H59" s="4">
        <f t="shared" si="2"/>
        <v>-1.2103730994587636</v>
      </c>
      <c r="I59" s="12" t="s">
        <v>37</v>
      </c>
      <c r="N59" s="23"/>
      <c r="O59" s="2"/>
    </row>
    <row r="60" spans="1:15">
      <c r="A60" s="39"/>
      <c r="B60" s="21">
        <v>15</v>
      </c>
      <c r="C60" s="2">
        <v>3</v>
      </c>
      <c r="D60">
        <v>-4416.4270599748297</v>
      </c>
      <c r="E60">
        <v>-4424.2601380684</v>
      </c>
      <c r="G60" s="4">
        <f>627.5*(E60-E31-E22)</f>
        <v>16.157016782114724</v>
      </c>
      <c r="H60" s="4">
        <f t="shared" si="2"/>
        <v>-2.7312044932620694</v>
      </c>
      <c r="I60" s="12" t="s">
        <v>37</v>
      </c>
      <c r="N60" s="23"/>
      <c r="O60" s="2"/>
    </row>
    <row r="61" spans="1:15">
      <c r="A61" s="39"/>
      <c r="B61" s="21">
        <v>16</v>
      </c>
      <c r="C61" s="2">
        <v>3</v>
      </c>
      <c r="D61">
        <v>-4530.5741316904196</v>
      </c>
      <c r="E61">
        <v>-4538.6016426513397</v>
      </c>
      <c r="G61" s="4">
        <f>627.5*(E61-E32-E22)</f>
        <v>18.75748842713584</v>
      </c>
      <c r="H61" s="4">
        <f t="shared" si="2"/>
        <v>-4.4157480649030134</v>
      </c>
      <c r="I61" s="12" t="s">
        <v>37</v>
      </c>
      <c r="N61" s="23"/>
      <c r="O61" s="2"/>
    </row>
    <row r="62" spans="1:15">
      <c r="G62" s="4"/>
      <c r="H62" s="12"/>
      <c r="I62" s="12"/>
    </row>
    <row r="63" spans="1:15">
      <c r="G63" s="4"/>
      <c r="H63" s="12"/>
      <c r="I63" s="12"/>
    </row>
    <row r="64" spans="1:15">
      <c r="A64" s="39" t="s">
        <v>1</v>
      </c>
      <c r="B64" s="21">
        <v>1</v>
      </c>
      <c r="C64" s="2">
        <v>2</v>
      </c>
      <c r="D64">
        <v>-4403.1595346661798</v>
      </c>
      <c r="E64">
        <v>-4410.98903036307</v>
      </c>
      <c r="G64" s="4">
        <f>627.5*(E64-E40-E21)</f>
        <v>3.875524116344593</v>
      </c>
      <c r="H64" s="4">
        <f>G76-G64</f>
        <v>6.0157894580909499</v>
      </c>
      <c r="I64" s="12">
        <f>24-20.4</f>
        <v>3.6000000000000014</v>
      </c>
      <c r="J64" s="4"/>
      <c r="K64" s="34">
        <f>24</f>
        <v>24</v>
      </c>
      <c r="L64" s="34">
        <v>20.399999999999999</v>
      </c>
    </row>
    <row r="65" spans="1:12">
      <c r="A65" s="39"/>
      <c r="B65" s="21">
        <v>1</v>
      </c>
      <c r="C65" s="2">
        <v>3</v>
      </c>
      <c r="D65">
        <v>-4401.9722403121104</v>
      </c>
      <c r="E65">
        <v>-4409.7920794904903</v>
      </c>
      <c r="G65" s="4">
        <f>627.5*(E65-E40-E22)</f>
        <v>6.7669755718198843</v>
      </c>
      <c r="H65" s="4">
        <f t="shared" ref="H65:H73" si="3">G77-G65</f>
        <v>2.6350536042439643</v>
      </c>
      <c r="I65" s="12">
        <f>19.3-15.8</f>
        <v>3.5</v>
      </c>
      <c r="J65" s="4"/>
      <c r="K65" s="34">
        <f>19.3</f>
        <v>19.3</v>
      </c>
      <c r="L65" s="34">
        <v>15.8</v>
      </c>
    </row>
    <row r="66" spans="1:12">
      <c r="A66" s="39"/>
      <c r="B66" s="21">
        <v>1</v>
      </c>
      <c r="C66" s="2">
        <v>4</v>
      </c>
      <c r="D66">
        <v>-4441.2142182707503</v>
      </c>
      <c r="E66">
        <v>-4449.1010525718902</v>
      </c>
      <c r="F66" s="4"/>
      <c r="G66" s="4">
        <f>627.5*(E66-E40-E23)</f>
        <v>8.1163641971664191</v>
      </c>
      <c r="H66" s="4">
        <f t="shared" si="3"/>
        <v>4.8624228791654645</v>
      </c>
      <c r="I66" s="12">
        <f>23.2-19.9</f>
        <v>3.3000000000000007</v>
      </c>
      <c r="J66" s="4"/>
      <c r="K66" s="34">
        <f>23.2</f>
        <v>23.2</v>
      </c>
      <c r="L66" s="34">
        <v>19.899999999999999</v>
      </c>
    </row>
    <row r="67" spans="1:12">
      <c r="A67" s="39"/>
      <c r="B67" s="21">
        <v>1</v>
      </c>
      <c r="C67" s="2">
        <v>9</v>
      </c>
      <c r="D67">
        <v>-4519.6973282195804</v>
      </c>
      <c r="E67">
        <v>-4527.7182005914301</v>
      </c>
      <c r="F67" s="4"/>
      <c r="G67" s="4">
        <f>627.5*(E67-E40-E25)</f>
        <v>7.5267296067084999</v>
      </c>
      <c r="H67" s="4">
        <f t="shared" si="3"/>
        <v>1.6311902165107028</v>
      </c>
      <c r="I67" s="12">
        <f>23.3-21.1</f>
        <v>2.1999999999999993</v>
      </c>
      <c r="J67" s="4"/>
      <c r="K67" s="34">
        <f>23.3</f>
        <v>23.3</v>
      </c>
      <c r="L67" s="34">
        <v>21.1</v>
      </c>
    </row>
    <row r="68" spans="1:12">
      <c r="A68" s="39"/>
      <c r="B68" s="21">
        <v>12</v>
      </c>
      <c r="C68" s="2">
        <v>2</v>
      </c>
      <c r="D68">
        <v>-4442.4134031925396</v>
      </c>
      <c r="E68">
        <v>-4450.3007973363201</v>
      </c>
      <c r="G68" s="4">
        <f>627.5*(E68-E41-E21)</f>
        <v>8.636410974083617</v>
      </c>
      <c r="H68" s="4">
        <f t="shared" si="3"/>
        <v>1.3054895695543678</v>
      </c>
      <c r="I68" s="12">
        <f>24.9-21.7</f>
        <v>3.1999999999999993</v>
      </c>
      <c r="J68" s="4"/>
      <c r="K68" s="34">
        <f>24.9</f>
        <v>24.9</v>
      </c>
      <c r="L68" s="34">
        <v>21.7</v>
      </c>
    </row>
    <row r="69" spans="1:12">
      <c r="A69" s="39"/>
      <c r="B69" s="21">
        <v>12</v>
      </c>
      <c r="C69" s="2">
        <v>8</v>
      </c>
      <c r="D69">
        <v>-4442.41853697439</v>
      </c>
      <c r="E69">
        <v>-4450.3073869447799</v>
      </c>
      <c r="G69" s="4">
        <f>627.5*(E69-E41-E24)</f>
        <v>4.9338907288126421</v>
      </c>
      <c r="H69" s="4">
        <f t="shared" si="3"/>
        <v>4.5896953853220879</v>
      </c>
      <c r="I69" s="12">
        <f>23.8-19.9</f>
        <v>3.9000000000000021</v>
      </c>
      <c r="J69" s="4"/>
      <c r="K69" s="34">
        <f>23.8</f>
        <v>23.8</v>
      </c>
      <c r="L69" s="34">
        <v>19.899999999999999</v>
      </c>
    </row>
    <row r="70" spans="1:12">
      <c r="A70" s="39"/>
      <c r="B70" s="21">
        <v>14</v>
      </c>
      <c r="C70" s="2">
        <v>3</v>
      </c>
      <c r="D70">
        <v>-4555.3669110519704</v>
      </c>
      <c r="E70">
        <v>-4563.4530417640899</v>
      </c>
      <c r="G70" s="4">
        <f>627.5*(E70-E42-E22)</f>
        <v>8.1516030284952734</v>
      </c>
      <c r="H70" s="4">
        <f t="shared" si="3"/>
        <v>1.8181921415970947</v>
      </c>
      <c r="I70" s="12">
        <f>20.5-17</f>
        <v>3.5</v>
      </c>
      <c r="J70" s="4"/>
      <c r="K70" s="34">
        <f>20.5</f>
        <v>20.5</v>
      </c>
      <c r="L70" s="34">
        <v>17</v>
      </c>
    </row>
    <row r="71" spans="1:12">
      <c r="A71" s="39"/>
      <c r="B71" s="21">
        <v>21</v>
      </c>
      <c r="C71" s="2">
        <v>2</v>
      </c>
      <c r="D71">
        <v>-4560.1244027494404</v>
      </c>
      <c r="E71">
        <v>-4568.2109396788501</v>
      </c>
      <c r="G71" s="4">
        <f>627.5*(E71-E45-E21)</f>
        <v>5.7903293727073901</v>
      </c>
      <c r="H71" s="4">
        <f t="shared" si="3"/>
        <v>3.6685346551419684</v>
      </c>
      <c r="I71" s="12" t="s">
        <v>38</v>
      </c>
      <c r="J71" s="4"/>
      <c r="K71" s="34"/>
      <c r="L71" s="34"/>
    </row>
    <row r="72" spans="1:12">
      <c r="A72" s="39"/>
      <c r="B72" s="21">
        <v>15</v>
      </c>
      <c r="C72" s="2">
        <v>3</v>
      </c>
      <c r="D72">
        <v>-4480.4725045759797</v>
      </c>
      <c r="E72">
        <v>-4488.4182801239604</v>
      </c>
      <c r="G72" s="4">
        <f>627.5*(E72-E43-E22)</f>
        <v>13.522780786974735</v>
      </c>
      <c r="H72" s="4">
        <f t="shared" si="3"/>
        <v>-9.696849812208086E-2</v>
      </c>
      <c r="I72" s="12">
        <f>23.5-22</f>
        <v>1.5</v>
      </c>
      <c r="J72" s="4"/>
      <c r="K72" s="34">
        <f>23.5</f>
        <v>23.5</v>
      </c>
      <c r="L72" s="34">
        <v>22</v>
      </c>
    </row>
    <row r="73" spans="1:12">
      <c r="A73" s="39"/>
      <c r="B73" s="21">
        <v>16</v>
      </c>
      <c r="C73" s="2">
        <v>3</v>
      </c>
      <c r="D73">
        <v>-4594.6138572217296</v>
      </c>
      <c r="E73">
        <v>-4602.7599124865501</v>
      </c>
      <c r="G73" s="4">
        <f>627.5*(E73-E44-E22)</f>
        <v>14.306122369768772</v>
      </c>
      <c r="H73" s="4">
        <f t="shared" si="3"/>
        <v>3.5617992464054282E-2</v>
      </c>
      <c r="I73" s="12">
        <f>23.9-23.3</f>
        <v>0.59999999999999787</v>
      </c>
      <c r="J73" s="4"/>
      <c r="K73" s="34">
        <f>23.9</f>
        <v>23.9</v>
      </c>
      <c r="L73" s="34">
        <v>23.3</v>
      </c>
    </row>
    <row r="74" spans="1:12">
      <c r="G74" s="4"/>
    </row>
    <row r="75" spans="1:12">
      <c r="G75" s="4"/>
    </row>
    <row r="76" spans="1:12">
      <c r="A76" s="37" t="s">
        <v>4</v>
      </c>
      <c r="B76" s="23">
        <v>1</v>
      </c>
      <c r="C76" s="23">
        <v>2</v>
      </c>
      <c r="D76" s="25">
        <v>-575.67583526606097</v>
      </c>
      <c r="E76" s="25">
        <v>-576.72602742465301</v>
      </c>
      <c r="F76" s="25"/>
      <c r="G76" s="19">
        <f>627.5*(E76-E21-E10)</f>
        <v>9.8913135744355429</v>
      </c>
    </row>
    <row r="77" spans="1:12">
      <c r="A77" s="37"/>
      <c r="B77" s="23">
        <v>1</v>
      </c>
      <c r="C77" s="23">
        <v>3</v>
      </c>
      <c r="D77" s="25">
        <v>-574.48633559502696</v>
      </c>
      <c r="E77" s="25">
        <v>-575.53446417893201</v>
      </c>
      <c r="F77" s="25"/>
      <c r="G77" s="19">
        <f>627.5*(E77-E22-E10)</f>
        <v>9.4020291760638486</v>
      </c>
    </row>
    <row r="78" spans="1:12">
      <c r="A78" s="37"/>
      <c r="B78" s="23">
        <v>1</v>
      </c>
      <c r="C78" s="23">
        <v>4</v>
      </c>
      <c r="D78" s="25">
        <v>-613.72607465659598</v>
      </c>
      <c r="E78" s="25">
        <v>-614.83988766786194</v>
      </c>
      <c r="F78" s="25"/>
      <c r="G78" s="19">
        <f>627.5*(E78-E23-E10)</f>
        <v>12.978787076331884</v>
      </c>
    </row>
    <row r="79" spans="1:12">
      <c r="A79" s="37"/>
      <c r="B79" s="23">
        <v>1</v>
      </c>
      <c r="C79" s="23">
        <v>9</v>
      </c>
      <c r="D79" s="25">
        <v>-692.21655256861698</v>
      </c>
      <c r="E79" s="25">
        <v>-693.46218506216303</v>
      </c>
      <c r="F79" s="25"/>
      <c r="G79" s="19">
        <f>627.5*(E79-E25-E10)</f>
        <v>9.1579198232192027</v>
      </c>
    </row>
    <row r="80" spans="1:12">
      <c r="A80" s="37"/>
      <c r="B80" s="23">
        <v>12</v>
      </c>
      <c r="C80" s="23">
        <v>2</v>
      </c>
      <c r="D80" s="25">
        <v>-614.92639307757202</v>
      </c>
      <c r="E80" s="25">
        <v>-616.04223036642998</v>
      </c>
      <c r="F80" s="25"/>
      <c r="G80" s="19">
        <f>627.5*(E80-E21-E11)</f>
        <v>9.9419005436379848</v>
      </c>
    </row>
    <row r="81" spans="1:7">
      <c r="A81" s="37"/>
      <c r="B81" s="23">
        <v>12</v>
      </c>
      <c r="C81" s="23">
        <v>8</v>
      </c>
      <c r="D81" s="25">
        <v>-614.92972347859302</v>
      </c>
      <c r="E81" s="25">
        <v>-616.04358618076105</v>
      </c>
      <c r="F81" s="25"/>
      <c r="G81" s="19">
        <f>627.5*(E81-E24-E11)</f>
        <v>9.52358611413473</v>
      </c>
    </row>
    <row r="82" spans="1:7">
      <c r="A82" s="37"/>
      <c r="B82" s="23">
        <v>14</v>
      </c>
      <c r="C82" s="23">
        <v>3</v>
      </c>
      <c r="D82" s="25">
        <v>-727.87623603319196</v>
      </c>
      <c r="E82" s="25">
        <v>-729.19233855160496</v>
      </c>
      <c r="F82" s="25"/>
      <c r="G82" s="19">
        <f>627.5*(E82-E22-E12)</f>
        <v>9.9697951700923682</v>
      </c>
    </row>
    <row r="83" spans="1:7">
      <c r="A83" s="37"/>
      <c r="B83" s="23">
        <v>21</v>
      </c>
      <c r="C83" s="23">
        <v>2</v>
      </c>
      <c r="D83" s="25">
        <v>-732.64719985353497</v>
      </c>
      <c r="E83" s="25">
        <v>-733.96510256260206</v>
      </c>
      <c r="F83" s="25"/>
      <c r="G83" s="19">
        <f>627.5*(E83-E21-E15)</f>
        <v>9.4588640278493585</v>
      </c>
    </row>
    <row r="84" spans="1:7">
      <c r="A84" s="37"/>
      <c r="B84" s="23">
        <v>15</v>
      </c>
      <c r="C84" s="23">
        <v>3</v>
      </c>
      <c r="D84" s="25">
        <v>-652.98115465946796</v>
      </c>
      <c r="E84" s="25">
        <v>-654.159815508723</v>
      </c>
      <c r="F84" s="25"/>
      <c r="G84" s="19">
        <f>627.5*(E84-E22-E13)</f>
        <v>13.425812288852654</v>
      </c>
    </row>
    <row r="85" spans="1:7">
      <c r="A85" s="37"/>
      <c r="B85" s="23">
        <v>16</v>
      </c>
      <c r="C85" s="23">
        <v>3</v>
      </c>
      <c r="D85" s="25">
        <v>-767.12049426805299</v>
      </c>
      <c r="E85" s="25">
        <v>-768.50148045689696</v>
      </c>
      <c r="F85" s="25"/>
      <c r="G85" s="19">
        <f>627.5*(E85-E22-E14)</f>
        <v>14.341740362232827</v>
      </c>
    </row>
  </sheetData>
  <mergeCells count="14">
    <mergeCell ref="A76:A85"/>
    <mergeCell ref="A5:H5"/>
    <mergeCell ref="A28:A37"/>
    <mergeCell ref="A40:A49"/>
    <mergeCell ref="B7:B8"/>
    <mergeCell ref="A10:A19"/>
    <mergeCell ref="C7:C8"/>
    <mergeCell ref="C10:C19"/>
    <mergeCell ref="C28:C37"/>
    <mergeCell ref="C40:C49"/>
    <mergeCell ref="A21:A25"/>
    <mergeCell ref="B21:B25"/>
    <mergeCell ref="A64:A73"/>
    <mergeCell ref="A52:A61"/>
  </mergeCells>
  <phoneticPr fontId="10" type="noConversion"/>
  <conditionalFormatting sqref="J64:J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pre_ts</vt:lpstr>
      <vt:lpstr>para-subt</vt:lpstr>
      <vt:lpstr>full_ts</vt:lpstr>
      <vt:lpstr>ts_analogues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Fernanda Duarte</cp:lastModifiedBy>
  <dcterms:created xsi:type="dcterms:W3CDTF">2019-04-06T10:39:39Z</dcterms:created>
  <dcterms:modified xsi:type="dcterms:W3CDTF">2019-09-15T18:23:45Z</dcterms:modified>
</cp:coreProperties>
</file>