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xampp\htdocs\bkculv5\public_html\files\"/>
    </mc:Choice>
  </mc:AlternateContent>
  <bookViews>
    <workbookView xWindow="0" yWindow="0" windowWidth="20490" windowHeight="897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14" i="1" l="1"/>
  <c r="T313" i="1"/>
  <c r="T312" i="1"/>
  <c r="T311" i="1"/>
  <c r="T310" i="1"/>
  <c r="T309" i="1"/>
  <c r="T308" i="1"/>
  <c r="T307" i="1"/>
  <c r="R307" i="1"/>
  <c r="K307" i="1"/>
  <c r="T306" i="1"/>
  <c r="T305" i="1"/>
  <c r="T304" i="1"/>
  <c r="T303" i="1"/>
  <c r="T302" i="1"/>
  <c r="T301" i="1"/>
  <c r="R301" i="1"/>
  <c r="K301" i="1"/>
  <c r="T300" i="1"/>
  <c r="T299" i="1"/>
  <c r="T298" i="1"/>
  <c r="T297" i="1"/>
  <c r="T296" i="1"/>
  <c r="T295" i="1"/>
  <c r="T294" i="1"/>
  <c r="T293" i="1"/>
  <c r="T292" i="1"/>
  <c r="T291" i="1"/>
  <c r="H291" i="1"/>
  <c r="T290" i="1"/>
  <c r="H290" i="1"/>
  <c r="T289" i="1"/>
  <c r="T288" i="1"/>
  <c r="T287" i="1"/>
  <c r="T286" i="1"/>
  <c r="T285" i="1"/>
  <c r="T284" i="1"/>
  <c r="T283" i="1"/>
  <c r="T282" i="1"/>
  <c r="T281" i="1"/>
  <c r="T280" i="1"/>
  <c r="T279" i="1"/>
  <c r="T278" i="1"/>
  <c r="T277" i="1"/>
  <c r="T276" i="1"/>
  <c r="T275" i="1"/>
  <c r="H275" i="1"/>
  <c r="T274" i="1"/>
  <c r="T273" i="1"/>
  <c r="T272" i="1"/>
  <c r="T271" i="1"/>
  <c r="T270" i="1"/>
  <c r="T269" i="1"/>
  <c r="T268" i="1"/>
  <c r="T267" i="1"/>
  <c r="T266" i="1"/>
  <c r="T265" i="1"/>
  <c r="T264" i="1"/>
  <c r="R263" i="1"/>
  <c r="T263" i="1" s="1"/>
  <c r="K263" i="1"/>
  <c r="T262" i="1"/>
  <c r="T261" i="1"/>
  <c r="T260" i="1"/>
  <c r="T259" i="1"/>
  <c r="T258" i="1"/>
  <c r="R257" i="1"/>
  <c r="T257" i="1" s="1"/>
  <c r="K257" i="1"/>
  <c r="T256" i="1"/>
  <c r="T255" i="1"/>
  <c r="T254" i="1"/>
  <c r="T253" i="1"/>
  <c r="T252" i="1"/>
  <c r="T251" i="1"/>
  <c r="T250" i="1"/>
  <c r="T249" i="1"/>
  <c r="T248" i="1"/>
  <c r="T247" i="1"/>
  <c r="H247" i="1"/>
  <c r="T246" i="1"/>
  <c r="H246" i="1"/>
  <c r="T245" i="1"/>
  <c r="T244" i="1"/>
  <c r="T243" i="1"/>
  <c r="T242" i="1"/>
  <c r="T241" i="1"/>
  <c r="T240" i="1"/>
  <c r="T239" i="1"/>
  <c r="T238" i="1"/>
  <c r="T237" i="1"/>
  <c r="T236" i="1"/>
  <c r="T235" i="1"/>
  <c r="T234" i="1"/>
  <c r="T233" i="1"/>
  <c r="T232" i="1"/>
  <c r="T231" i="1"/>
  <c r="H231" i="1"/>
  <c r="T230" i="1"/>
  <c r="R229" i="1"/>
  <c r="T229" i="1" s="1"/>
  <c r="N229" i="1"/>
  <c r="L229" i="1"/>
  <c r="K229" i="1"/>
  <c r="T228" i="1"/>
  <c r="T227" i="1"/>
  <c r="T226" i="1"/>
  <c r="T225" i="1"/>
  <c r="T224" i="1"/>
  <c r="K224" i="1"/>
  <c r="R223" i="1"/>
  <c r="T223" i="1" s="1"/>
  <c r="K223" i="1"/>
  <c r="T222" i="1"/>
  <c r="K222" i="1"/>
  <c r="S221" i="1"/>
  <c r="R221" i="1"/>
  <c r="T221" i="1" s="1"/>
  <c r="T220" i="1"/>
  <c r="T219" i="1"/>
  <c r="R219" i="1"/>
  <c r="K219" i="1"/>
  <c r="T218" i="1"/>
  <c r="T217" i="1"/>
  <c r="T216" i="1"/>
  <c r="T215" i="1"/>
  <c r="T214" i="1"/>
  <c r="T213" i="1"/>
  <c r="T212" i="1"/>
  <c r="T211" i="1"/>
  <c r="T210" i="1"/>
  <c r="T209" i="1"/>
  <c r="T208" i="1"/>
  <c r="T207" i="1"/>
  <c r="T206" i="1"/>
  <c r="T205" i="1"/>
  <c r="T204" i="1"/>
  <c r="T203" i="1"/>
  <c r="N203" i="1"/>
  <c r="K203" i="1"/>
  <c r="H203" i="1"/>
  <c r="T202" i="1"/>
  <c r="N202" i="1"/>
  <c r="K202" i="1"/>
  <c r="C202" i="1"/>
  <c r="T201" i="1"/>
  <c r="T200" i="1"/>
  <c r="T199" i="1"/>
  <c r="T198" i="1"/>
  <c r="I198" i="1"/>
  <c r="T197" i="1"/>
  <c r="E197" i="1"/>
  <c r="C197" i="1"/>
  <c r="T196" i="1"/>
  <c r="S195" i="1"/>
  <c r="T195" i="1" s="1"/>
  <c r="R195" i="1"/>
  <c r="N195" i="1"/>
  <c r="K195" i="1"/>
  <c r="T194" i="1"/>
  <c r="T193" i="1"/>
  <c r="T192" i="1"/>
  <c r="E192" i="1"/>
  <c r="C192" i="1"/>
  <c r="T191" i="1"/>
  <c r="T190" i="1"/>
  <c r="T189" i="1"/>
  <c r="T188" i="1"/>
  <c r="T187" i="1"/>
  <c r="H187" i="1"/>
  <c r="R186" i="1"/>
  <c r="T186" i="1" s="1"/>
  <c r="K186" i="1"/>
  <c r="T185" i="1"/>
  <c r="R185" i="1"/>
  <c r="N185" i="1"/>
  <c r="L185" i="1"/>
  <c r="K185" i="1"/>
  <c r="J185" i="1"/>
  <c r="T184" i="1"/>
  <c r="R184" i="1"/>
  <c r="N184" i="1"/>
  <c r="K184" i="1"/>
  <c r="I184" i="1"/>
  <c r="S183" i="1"/>
  <c r="R183" i="1"/>
  <c r="T183" i="1" s="1"/>
  <c r="K183" i="1"/>
  <c r="T182" i="1" l="1"/>
  <c r="T181" i="1"/>
  <c r="T180" i="1"/>
  <c r="T179" i="1"/>
  <c r="T178" i="1"/>
  <c r="T177" i="1"/>
  <c r="T176" i="1"/>
  <c r="T175" i="1"/>
  <c r="T174" i="1"/>
  <c r="T173" i="1"/>
  <c r="T172" i="1"/>
  <c r="T171" i="1"/>
  <c r="T170" i="1"/>
  <c r="T169" i="1"/>
  <c r="T168" i="1"/>
  <c r="T167" i="1"/>
  <c r="M167" i="1"/>
  <c r="K167" i="1"/>
  <c r="I167" i="1"/>
  <c r="H167" i="1"/>
  <c r="T166" i="1"/>
  <c r="T165" i="1"/>
  <c r="T164" i="1"/>
  <c r="T163" i="1"/>
  <c r="T162" i="1"/>
  <c r="T161" i="1"/>
  <c r="E161" i="1"/>
  <c r="C161" i="1"/>
  <c r="T160" i="1"/>
  <c r="T159" i="1"/>
  <c r="T158" i="1"/>
  <c r="T157" i="1"/>
  <c r="R156" i="1"/>
  <c r="T156" i="1" s="1"/>
  <c r="K156" i="1"/>
  <c r="I156" i="1"/>
  <c r="R155" i="1"/>
  <c r="T155" i="1" s="1"/>
  <c r="N155" i="1"/>
  <c r="K155" i="1"/>
  <c r="T154" i="1"/>
  <c r="N154" i="1"/>
  <c r="R153" i="1"/>
  <c r="T153" i="1" s="1"/>
  <c r="K153" i="1"/>
  <c r="S152" i="1"/>
  <c r="T152" i="1" s="1"/>
  <c r="S151" i="1"/>
  <c r="T151" i="1" s="1"/>
  <c r="T150" i="1"/>
  <c r="T149" i="1"/>
  <c r="T148" i="1"/>
  <c r="T147" i="1"/>
  <c r="T146" i="1"/>
  <c r="T145" i="1"/>
  <c r="T144" i="1"/>
  <c r="T143" i="1"/>
  <c r="T142" i="1"/>
  <c r="T141" i="1"/>
  <c r="T140" i="1"/>
  <c r="T139" i="1"/>
  <c r="T138" i="1"/>
  <c r="T137" i="1"/>
  <c r="T136" i="1"/>
  <c r="T135" i="1"/>
  <c r="T134" i="1"/>
  <c r="T133" i="1"/>
  <c r="T132" i="1"/>
  <c r="S131" i="1"/>
  <c r="T131" i="1" s="1"/>
  <c r="N131" i="1"/>
  <c r="T130" i="1"/>
  <c r="T129" i="1"/>
  <c r="T128" i="1"/>
  <c r="E128" i="1"/>
  <c r="C128" i="1"/>
  <c r="T127" i="1"/>
  <c r="T126" i="1"/>
  <c r="T125" i="1"/>
  <c r="T124" i="1"/>
  <c r="T123" i="1"/>
  <c r="T122" i="1"/>
  <c r="S121" i="1"/>
  <c r="R121" i="1"/>
  <c r="K121" i="1"/>
  <c r="T120" i="1"/>
  <c r="T119" i="1"/>
  <c r="T118" i="1"/>
  <c r="T117" i="1"/>
  <c r="R116" i="1"/>
  <c r="T116" i="1" s="1"/>
  <c r="K116" i="1"/>
  <c r="I116" i="1"/>
  <c r="T115" i="1"/>
  <c r="R114" i="1"/>
  <c r="T114" i="1" s="1"/>
  <c r="N114" i="1"/>
  <c r="K114" i="1"/>
  <c r="S113" i="1"/>
  <c r="T113" i="1" s="1"/>
  <c r="K113" i="1"/>
  <c r="R112" i="1"/>
  <c r="T112" i="1" s="1"/>
  <c r="T111" i="1"/>
  <c r="T110" i="1"/>
  <c r="S109" i="1"/>
  <c r="R109" i="1"/>
  <c r="K109" i="1"/>
  <c r="T108" i="1"/>
  <c r="R107" i="1"/>
  <c r="T107" i="1" s="1"/>
  <c r="T106" i="1"/>
  <c r="T105" i="1"/>
  <c r="T104" i="1"/>
  <c r="S103" i="1"/>
  <c r="R103" i="1"/>
  <c r="T102" i="1"/>
  <c r="R101" i="1"/>
  <c r="T101" i="1" s="1"/>
  <c r="L101" i="1"/>
  <c r="R100" i="1"/>
  <c r="T100" i="1" s="1"/>
  <c r="S99" i="1"/>
  <c r="R99" i="1"/>
  <c r="K99" i="1"/>
  <c r="I99" i="1"/>
  <c r="R98" i="1"/>
  <c r="T98" i="1" s="1"/>
  <c r="T97" i="1"/>
  <c r="T96" i="1"/>
  <c r="R95" i="1"/>
  <c r="T95" i="1" s="1"/>
  <c r="T94" i="1"/>
  <c r="S93" i="1"/>
  <c r="R93" i="1"/>
  <c r="T92" i="1"/>
  <c r="N92" i="1"/>
  <c r="T91" i="1"/>
  <c r="T90" i="1"/>
  <c r="T89" i="1"/>
  <c r="T88" i="1"/>
  <c r="T87" i="1"/>
  <c r="S86" i="1"/>
  <c r="R86" i="1"/>
  <c r="T85" i="1"/>
  <c r="S84" i="1"/>
  <c r="R84" i="1"/>
  <c r="S83" i="1"/>
  <c r="R83" i="1"/>
  <c r="K83" i="1"/>
  <c r="I83" i="1"/>
  <c r="S82" i="1"/>
  <c r="R82" i="1"/>
  <c r="T81" i="1"/>
  <c r="L81" i="1"/>
  <c r="T80" i="1"/>
  <c r="S79" i="1"/>
  <c r="R79" i="1"/>
  <c r="K79" i="1"/>
  <c r="I79" i="1"/>
  <c r="T78" i="1"/>
  <c r="S77" i="1"/>
  <c r="R77" i="1"/>
  <c r="N77" i="1"/>
  <c r="S76" i="1"/>
  <c r="T76" i="1" s="1"/>
  <c r="K76" i="1"/>
  <c r="T75" i="1"/>
  <c r="T74" i="1"/>
  <c r="T73" i="1"/>
  <c r="T72" i="1"/>
  <c r="T71" i="1"/>
  <c r="J71" i="1"/>
  <c r="K71" i="1" s="1"/>
  <c r="I71" i="1"/>
  <c r="T70" i="1"/>
  <c r="T69" i="1"/>
  <c r="S68" i="1"/>
  <c r="T68" i="1" s="1"/>
  <c r="T67" i="1"/>
  <c r="T66" i="1"/>
  <c r="T65" i="1"/>
  <c r="T64" i="1"/>
  <c r="T63" i="1"/>
  <c r="T62" i="1"/>
  <c r="R61" i="1"/>
  <c r="T61" i="1" s="1"/>
  <c r="T60" i="1"/>
  <c r="T59" i="1"/>
  <c r="S58" i="1"/>
  <c r="R58" i="1"/>
  <c r="T57" i="1"/>
  <c r="T56" i="1"/>
  <c r="S55" i="1"/>
  <c r="T55" i="1" s="1"/>
  <c r="T54" i="1"/>
  <c r="T53" i="1"/>
  <c r="N53" i="1"/>
  <c r="K53" i="1"/>
  <c r="T52" i="1"/>
  <c r="T51" i="1"/>
  <c r="T50" i="1"/>
  <c r="T49" i="1"/>
  <c r="S48" i="1"/>
  <c r="R48" i="1"/>
  <c r="T47" i="1"/>
  <c r="T46" i="1"/>
  <c r="T45" i="1"/>
  <c r="T44" i="1"/>
  <c r="T43" i="1"/>
  <c r="T42" i="1"/>
  <c r="T41" i="1"/>
  <c r="N41" i="1"/>
  <c r="L41" i="1"/>
  <c r="S40" i="1"/>
  <c r="R40" i="1"/>
  <c r="N40" i="1"/>
  <c r="O40" i="1" s="1"/>
  <c r="I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S10" i="1"/>
  <c r="T10" i="1" s="1"/>
  <c r="S9" i="1"/>
  <c r="R9" i="1"/>
  <c r="N9" i="1"/>
  <c r="K9" i="1"/>
  <c r="I9" i="1"/>
  <c r="T8" i="1"/>
  <c r="L8" i="1"/>
  <c r="T7" i="1"/>
  <c r="T6" i="1"/>
  <c r="T5" i="1"/>
  <c r="T4" i="1"/>
  <c r="N4" i="1"/>
  <c r="K4" i="1"/>
  <c r="T3" i="1"/>
  <c r="O3" i="1"/>
  <c r="N3" i="1"/>
  <c r="T2" i="1"/>
  <c r="T9" i="1" l="1"/>
  <c r="T58" i="1"/>
  <c r="T40" i="1"/>
  <c r="T121" i="1"/>
  <c r="T79" i="1"/>
  <c r="T99" i="1"/>
  <c r="T82" i="1"/>
  <c r="T103" i="1"/>
  <c r="T77" i="1"/>
  <c r="T86" i="1"/>
  <c r="T48" i="1"/>
  <c r="T84" i="1"/>
  <c r="T109" i="1"/>
  <c r="T83" i="1"/>
  <c r="T93" i="1"/>
</calcChain>
</file>

<file path=xl/comments1.xml><?xml version="1.0" encoding="utf-8"?>
<comments xmlns="http://schemas.openxmlformats.org/spreadsheetml/2006/main">
  <authors>
    <author>user</author>
  </authors>
  <commentList>
    <comment ref="J2" authorId="0" shapeId="0">
      <text>
        <r>
          <rPr>
            <b/>
            <sz val="9"/>
            <color indexed="81"/>
            <rFont val="Tahoma"/>
            <family val="2"/>
          </rPr>
          <t>user:</t>
        </r>
        <r>
          <rPr>
            <sz val="9"/>
            <color indexed="81"/>
            <rFont val="Tahoma"/>
            <family val="2"/>
          </rPr>
          <t xml:space="preserve">
SIMAPAN</t>
        </r>
      </text>
    </comment>
    <comment ref="K2" authorId="0" shapeId="0">
      <text>
        <r>
          <rPr>
            <b/>
            <sz val="9"/>
            <color indexed="81"/>
            <rFont val="Tahoma"/>
            <family val="2"/>
          </rPr>
          <t>user:</t>
        </r>
        <r>
          <rPr>
            <sz val="9"/>
            <color indexed="81"/>
            <rFont val="Tahoma"/>
            <family val="2"/>
          </rPr>
          <t xml:space="preserve">
Tabungan Taken
Tabungan Sekoci
Tabungan Sijaka
Tabungan Tulus
Tabungan Tawa
Tabungan Cincin
Tabungan UKM
Tabungan Sidara
Tabungan Betang
Tabungan Setia
</t>
        </r>
      </text>
    </comment>
    <comment ref="M2" authorId="0" shapeId="0">
      <text>
        <r>
          <rPr>
            <b/>
            <sz val="9"/>
            <color indexed="81"/>
            <rFont val="Tahoma"/>
            <family val="2"/>
          </rPr>
          <t>user:</t>
        </r>
        <r>
          <rPr>
            <sz val="9"/>
            <color indexed="81"/>
            <rFont val="Tahoma"/>
            <family val="2"/>
          </rPr>
          <t xml:space="preserve">
Piutang Anggota Simapan
Piutang Anggota Mikro
Piutang Anggota Ukm
Piutang Anggota Betang
Piutang Anggota Sidara
Piutang Anggota Tawa
Piutang Anggota Umum
</t>
        </r>
      </text>
    </comment>
    <comment ref="J3" authorId="0" shapeId="0">
      <text>
        <r>
          <rPr>
            <b/>
            <sz val="9"/>
            <color indexed="81"/>
            <rFont val="Tahoma"/>
            <family val="2"/>
          </rPr>
          <t>user:</t>
        </r>
        <r>
          <rPr>
            <sz val="9"/>
            <color indexed="81"/>
            <rFont val="Tahoma"/>
            <family val="2"/>
          </rPr>
          <t xml:space="preserve">
TABERNAKEL</t>
        </r>
      </text>
    </comment>
    <comment ref="K3" authorId="0" shapeId="0">
      <text>
        <r>
          <rPr>
            <b/>
            <sz val="9"/>
            <color indexed="81"/>
            <rFont val="Tahoma"/>
            <family val="2"/>
          </rPr>
          <t>user:</t>
        </r>
        <r>
          <rPr>
            <sz val="9"/>
            <color indexed="81"/>
            <rFont val="Tahoma"/>
            <family val="2"/>
          </rPr>
          <t xml:space="preserve">
Talenta
Simpanan Stella Gerak 2
Simpanan Stella Gerak 4
Simpanan Stella Teduh
Kapel
Tarinak
</t>
        </r>
      </text>
    </comment>
    <comment ref="M3" authorId="0" shapeId="0">
      <text>
        <r>
          <rPr>
            <b/>
            <sz val="9"/>
            <color indexed="81"/>
            <rFont val="Tahoma"/>
            <family val="2"/>
          </rPr>
          <t>user:</t>
        </r>
        <r>
          <rPr>
            <sz val="9"/>
            <color indexed="81"/>
            <rFont val="Tahoma"/>
            <family val="2"/>
          </rPr>
          <t xml:space="preserve">
Piutang Pinjam Simpanan
Piutang Mikro
Piutang Produktif
Piutang Stella Teduh
Piutang Stella Gerak 2
Piutang Stella Gerak 4
Piutang Stella Tani
Piutang Pendidikan
Piutang Darurat
Piutang Umum
Piutang Kesejahteraan
</t>
        </r>
      </text>
    </comment>
    <comment ref="J4" authorId="0" shapeId="0">
      <text>
        <r>
          <rPr>
            <b/>
            <sz val="9"/>
            <color indexed="81"/>
            <rFont val="Tahoma"/>
            <family val="2"/>
          </rPr>
          <t>user:</t>
        </r>
        <r>
          <rPr>
            <sz val="9"/>
            <color indexed="81"/>
            <rFont val="Tahoma"/>
            <family val="2"/>
          </rPr>
          <t xml:space="preserve">
CUPUMAS</t>
        </r>
      </text>
    </comment>
    <comment ref="L4" authorId="0" shapeId="0">
      <text>
        <r>
          <rPr>
            <b/>
            <sz val="9"/>
            <color indexed="81"/>
            <rFont val="Tahoma"/>
            <family val="2"/>
          </rPr>
          <t>user:</t>
        </r>
        <r>
          <rPr>
            <sz val="9"/>
            <color indexed="81"/>
            <rFont val="Tahoma"/>
            <family val="2"/>
          </rPr>
          <t xml:space="preserve">
Hut SPD &amp; PANTAS</t>
        </r>
      </text>
    </comment>
    <comment ref="M4" authorId="0" shapeId="0">
      <text>
        <r>
          <rPr>
            <b/>
            <sz val="9"/>
            <color indexed="81"/>
            <rFont val="Tahoma"/>
            <family val="2"/>
          </rPr>
          <t>user:</t>
        </r>
        <r>
          <rPr>
            <sz val="9"/>
            <color indexed="81"/>
            <rFont val="Tahoma"/>
            <family val="2"/>
          </rPr>
          <t xml:space="preserve">
PIUTANG  ANGGOTA
PIUTANG AGRO &amp; TABEK
masih ada piutang non agt (hya tdk dimasukan dlm piutang beredar)</t>
        </r>
      </text>
    </comment>
    <comment ref="J5" authorId="0" shapeId="0">
      <text>
        <r>
          <rPr>
            <b/>
            <sz val="9"/>
            <color indexed="81"/>
            <rFont val="Tahoma"/>
            <family val="2"/>
          </rPr>
          <t>user:</t>
        </r>
        <r>
          <rPr>
            <sz val="9"/>
            <color indexed="81"/>
            <rFont val="Tahoma"/>
            <family val="2"/>
          </rPr>
          <t xml:space="preserve">
SIGAYU</t>
        </r>
      </text>
    </comment>
    <comment ref="K5" authorId="0" shapeId="0">
      <text>
        <r>
          <rPr>
            <b/>
            <sz val="9"/>
            <color indexed="81"/>
            <rFont val="Tahoma"/>
            <family val="2"/>
          </rPr>
          <t>user:</t>
        </r>
        <r>
          <rPr>
            <sz val="9"/>
            <color indexed="81"/>
            <rFont val="Tahoma"/>
            <family val="2"/>
          </rPr>
          <t xml:space="preserve">
Simpanan Sburan
Simpanan Simpel
Simpanan Sakti
Simpanan Pendidikan
Simpanan Perumahan
Simpanan Kendaraan
Simpanan Merayeh
Simpanan Temawang
Simpanan Sibujang
Simpanan Tapend
Simpanan Masa Depan
Sepadan
Sekawan
</t>
        </r>
      </text>
    </comment>
    <comment ref="M5" authorId="0" shapeId="0">
      <text>
        <r>
          <rPr>
            <b/>
            <sz val="9"/>
            <color indexed="81"/>
            <rFont val="Tahoma"/>
            <family val="2"/>
          </rPr>
          <t>user:</t>
        </r>
        <r>
          <rPr>
            <sz val="9"/>
            <color indexed="81"/>
            <rFont val="Tahoma"/>
            <family val="2"/>
          </rPr>
          <t xml:space="preserve">
Pinjaman Saham
Pinjaman Sakti
Pinjaman Pendidikan
Pinjaman Perumahan
Pinjaman Kendaraan
Pinjaman Merayeh
Pinjaman Temawang
Pinjaman Sepadan
Pinjaman Sekawan
Pinjaman Lain-Lain
</t>
        </r>
      </text>
    </comment>
    <comment ref="H6" authorId="0" shapeId="0">
      <text>
        <r>
          <rPr>
            <b/>
            <sz val="9"/>
            <color indexed="81"/>
            <rFont val="Tahoma"/>
            <family val="2"/>
          </rPr>
          <t>user:</t>
        </r>
        <r>
          <rPr>
            <sz val="9"/>
            <color indexed="81"/>
            <rFont val="Tahoma"/>
            <family val="2"/>
          </rPr>
          <t xml:space="preserve">
Kas
B A N K
S I K O D I T
S I K L U S
Piutang Anggota 
</t>
        </r>
      </text>
    </comment>
    <comment ref="J6" authorId="0" shapeId="0">
      <text>
        <r>
          <rPr>
            <b/>
            <sz val="9"/>
            <color indexed="81"/>
            <rFont val="Tahoma"/>
            <family val="2"/>
          </rPr>
          <t>user:</t>
        </r>
        <r>
          <rPr>
            <sz val="9"/>
            <color indexed="81"/>
            <rFont val="Tahoma"/>
            <family val="2"/>
          </rPr>
          <t xml:space="preserve">
SIHARTA Anggota</t>
        </r>
      </text>
    </comment>
    <comment ref="K6" authorId="0" shapeId="0">
      <text>
        <r>
          <rPr>
            <b/>
            <sz val="9"/>
            <color indexed="81"/>
            <rFont val="Tahoma"/>
            <family val="2"/>
          </rPr>
          <t>user:</t>
        </r>
        <r>
          <rPr>
            <sz val="9"/>
            <color indexed="81"/>
            <rFont val="Tahoma"/>
            <family val="2"/>
          </rPr>
          <t xml:space="preserve">
SINTA
SIHARTA Anggota
SIMHAR Anggota
SIDIK Anggota
SINTA
</t>
        </r>
      </text>
    </comment>
    <comment ref="H7" authorId="0" shapeId="0">
      <text>
        <r>
          <rPr>
            <b/>
            <sz val="9"/>
            <color indexed="81"/>
            <rFont val="Tahoma"/>
            <family val="2"/>
          </rPr>
          <t>user:</t>
        </r>
        <r>
          <rPr>
            <sz val="9"/>
            <color indexed="81"/>
            <rFont val="Tahoma"/>
            <family val="2"/>
          </rPr>
          <t xml:space="preserve">
CU Keliru /piutang agt tdk dimasukan dlm aset lancar</t>
        </r>
      </text>
    </comment>
    <comment ref="J7" authorId="0" shapeId="0">
      <text>
        <r>
          <rPr>
            <b/>
            <sz val="9"/>
            <color indexed="81"/>
            <rFont val="Tahoma"/>
            <family val="2"/>
          </rPr>
          <t>user:</t>
        </r>
        <r>
          <rPr>
            <sz val="9"/>
            <color indexed="81"/>
            <rFont val="Tahoma"/>
            <family val="2"/>
          </rPr>
          <t xml:space="preserve">
SITILUNG</t>
        </r>
      </text>
    </comment>
    <comment ref="K7" authorId="0" shapeId="0">
      <text>
        <r>
          <rPr>
            <b/>
            <sz val="9"/>
            <color indexed="81"/>
            <rFont val="Tahoma"/>
            <family val="2"/>
          </rPr>
          <t>user:</t>
        </r>
        <r>
          <rPr>
            <sz val="9"/>
            <color indexed="81"/>
            <rFont val="Tahoma"/>
            <family val="2"/>
          </rPr>
          <t xml:space="preserve">
Sintong
Sipajar
Simpatik
Simpro
Sitaruna
Simparaan
</t>
        </r>
      </text>
    </comment>
    <comment ref="M7" authorId="0" shapeId="0">
      <text>
        <r>
          <rPr>
            <b/>
            <sz val="9"/>
            <color indexed="81"/>
            <rFont val="Tahoma"/>
            <family val="2"/>
          </rPr>
          <t>user:</t>
        </r>
        <r>
          <rPr>
            <sz val="9"/>
            <color indexed="81"/>
            <rFont val="Tahoma"/>
            <family val="2"/>
          </rPr>
          <t xml:space="preserve">
Produktif
Konsumtif
Darurat
Piutang Simpanan
</t>
        </r>
      </text>
    </comment>
    <comment ref="J8" authorId="0" shapeId="0">
      <text>
        <r>
          <rPr>
            <b/>
            <sz val="9"/>
            <color indexed="81"/>
            <rFont val="Tahoma"/>
            <family val="2"/>
          </rPr>
          <t>user:</t>
        </r>
        <r>
          <rPr>
            <sz val="9"/>
            <color indexed="81"/>
            <rFont val="Tahoma"/>
            <family val="2"/>
          </rPr>
          <t xml:space="preserve">
SI-EMAS</t>
        </r>
      </text>
    </comment>
    <comment ref="K8" authorId="0" shapeId="0">
      <text>
        <r>
          <rPr>
            <b/>
            <sz val="9"/>
            <color indexed="81"/>
            <rFont val="Tahoma"/>
            <family val="2"/>
          </rPr>
          <t>user:</t>
        </r>
        <r>
          <rPr>
            <sz val="9"/>
            <color indexed="81"/>
            <rFont val="Tahoma"/>
            <family val="2"/>
          </rPr>
          <t xml:space="preserve">
Sampan
Tahar
Tas
Tabirqu
</t>
        </r>
      </text>
    </comment>
    <comment ref="M8" authorId="0" shapeId="0">
      <text>
        <r>
          <rPr>
            <b/>
            <sz val="9"/>
            <color indexed="81"/>
            <rFont val="Tahoma"/>
            <family val="2"/>
          </rPr>
          <t>user:</t>
        </r>
        <r>
          <rPr>
            <sz val="9"/>
            <color indexed="81"/>
            <rFont val="Tahoma"/>
            <family val="2"/>
          </rPr>
          <t xml:space="preserve">
1. Piutang Umum
2. Piutang Menambah Simpanan
3. Piutang Mikro
4. Penyisihan Piutang Tak Tertagih
</t>
        </r>
      </text>
    </comment>
    <comment ref="J9" authorId="0" shapeId="0">
      <text>
        <r>
          <rPr>
            <b/>
            <sz val="9"/>
            <color indexed="81"/>
            <rFont val="Tahoma"/>
            <family val="2"/>
          </rPr>
          <t>user:</t>
        </r>
        <r>
          <rPr>
            <sz val="9"/>
            <color indexed="81"/>
            <rFont val="Tahoma"/>
            <family val="2"/>
          </rPr>
          <t xml:space="preserve">
SAPALA</t>
        </r>
      </text>
    </comment>
    <comment ref="K9" authorId="0" shapeId="0">
      <text>
        <r>
          <rPr>
            <b/>
            <sz val="9"/>
            <color indexed="81"/>
            <rFont val="Tahoma"/>
            <family val="2"/>
          </rPr>
          <t>user:</t>
        </r>
        <r>
          <rPr>
            <sz val="9"/>
            <color indexed="81"/>
            <rFont val="Tahoma"/>
            <family val="2"/>
          </rPr>
          <t xml:space="preserve">
Pahar
Batuah
Siraya
Bahata
</t>
        </r>
      </text>
    </comment>
    <comment ref="J10" authorId="0" shapeId="0">
      <text>
        <r>
          <rPr>
            <b/>
            <sz val="9"/>
            <color indexed="81"/>
            <rFont val="Tahoma"/>
            <family val="2"/>
          </rPr>
          <t>user:</t>
        </r>
        <r>
          <rPr>
            <sz val="9"/>
            <color indexed="81"/>
            <rFont val="Tahoma"/>
            <family val="2"/>
          </rPr>
          <t xml:space="preserve">
Teroket</t>
        </r>
      </text>
    </comment>
    <comment ref="K10" authorId="0" shapeId="0">
      <text>
        <r>
          <rPr>
            <b/>
            <sz val="9"/>
            <color indexed="81"/>
            <rFont val="Tahoma"/>
            <family val="2"/>
          </rPr>
          <t>user:</t>
        </r>
        <r>
          <rPr>
            <sz val="9"/>
            <color indexed="81"/>
            <rFont val="Tahoma"/>
            <family val="2"/>
          </rPr>
          <t xml:space="preserve">
Simpanan Mongkao
Simpanan The Pooh
Simpanan Juwah
Simpanan Tonuk
Simpanan Ndoae
Simpanan Tungkat
Simpanan Orut
Simpanan Roming
</t>
        </r>
      </text>
    </comment>
    <comment ref="M10" authorId="0" shapeId="0">
      <text>
        <r>
          <rPr>
            <b/>
            <sz val="9"/>
            <color indexed="81"/>
            <rFont val="Tahoma"/>
            <family val="2"/>
          </rPr>
          <t>user:</t>
        </r>
        <r>
          <rPr>
            <sz val="9"/>
            <color indexed="81"/>
            <rFont val="Tahoma"/>
            <family val="2"/>
          </rPr>
          <t xml:space="preserve">
Piutang Menambah Simpanan Terroket
Piutang Produktif
Piutang Serba-serbi
Piutang Orut
Piutang Roming
Piutang Khusus/Cepat
Piutang Pengelola
</t>
        </r>
      </text>
    </comment>
    <comment ref="J11" authorId="0" shapeId="0">
      <text>
        <r>
          <rPr>
            <b/>
            <sz val="9"/>
            <color indexed="81"/>
            <rFont val="Tahoma"/>
            <family val="2"/>
          </rPr>
          <t>user:</t>
        </r>
        <r>
          <rPr>
            <sz val="9"/>
            <color indexed="81"/>
            <rFont val="Tahoma"/>
            <family val="2"/>
          </rPr>
          <t xml:space="preserve">
Megapolitan</t>
        </r>
      </text>
    </comment>
    <comment ref="K11" authorId="0" shapeId="0">
      <text>
        <r>
          <rPr>
            <b/>
            <sz val="9"/>
            <color indexed="81"/>
            <rFont val="Tahoma"/>
            <family val="2"/>
          </rPr>
          <t>user:</t>
        </r>
        <r>
          <rPr>
            <sz val="9"/>
            <color indexed="81"/>
            <rFont val="Tahoma"/>
            <family val="2"/>
          </rPr>
          <t xml:space="preserve">
Simpanan Pagan
Simpanan Pundi Gratia
Simpanan Multiguna
Simpanan Pendidikan
</t>
        </r>
      </text>
    </comment>
    <comment ref="M11" authorId="0" shapeId="0">
      <text>
        <r>
          <rPr>
            <b/>
            <sz val="9"/>
            <color indexed="81"/>
            <rFont val="Tahoma"/>
            <family val="2"/>
          </rPr>
          <t>user:</t>
        </r>
        <r>
          <rPr>
            <sz val="9"/>
            <color indexed="81"/>
            <rFont val="Tahoma"/>
            <family val="2"/>
          </rPr>
          <t xml:space="preserve">
Piutang Menambah Simpanan
Piutang Keperluan Rumah Tanga
Piutang Produktif
Piutang Modal Kerja
Piutang Sepeda Motor
Piutang Rumah
Piutang Pendidikan
Piutang Kavling Tanah
</t>
        </r>
      </text>
    </comment>
    <comment ref="J12" authorId="0" shapeId="0">
      <text>
        <r>
          <rPr>
            <b/>
            <sz val="9"/>
            <color indexed="81"/>
            <rFont val="Tahoma"/>
            <family val="2"/>
          </rPr>
          <t>user:</t>
        </r>
        <r>
          <rPr>
            <sz val="9"/>
            <color indexed="81"/>
            <rFont val="Tahoma"/>
            <family val="2"/>
          </rPr>
          <t xml:space="preserve">
siwaris</t>
        </r>
      </text>
    </comment>
    <comment ref="K12" authorId="0" shapeId="0">
      <text>
        <r>
          <rPr>
            <b/>
            <sz val="9"/>
            <color indexed="81"/>
            <rFont val="Tahoma"/>
            <family val="2"/>
          </rPr>
          <t>user:</t>
        </r>
        <r>
          <rPr>
            <sz val="9"/>
            <color indexed="81"/>
            <rFont val="Tahoma"/>
            <family val="2"/>
          </rPr>
          <t xml:space="preserve">
Sikendhi 
 Simpanan Pendidikan 
 Simpanan Ibadah 
 Simpanan Properti 
 Sigap (Darurat) 
</t>
        </r>
      </text>
    </comment>
    <comment ref="M12" authorId="0" shapeId="0">
      <text>
        <r>
          <rPr>
            <b/>
            <sz val="9"/>
            <color indexed="81"/>
            <rFont val="Tahoma"/>
            <family val="2"/>
          </rPr>
          <t>user:</t>
        </r>
        <r>
          <rPr>
            <sz val="9"/>
            <color indexed="81"/>
            <rFont val="Tahoma"/>
            <family val="2"/>
          </rPr>
          <t xml:space="preserve">
Kapitalisasi 
 Khusus 
 Pendidikan 
 Kendaraan 
 Properti 
 Perkawinan / Hajatan 
 Kesehatan 
 Usaha Produktif 
 Umum / Serba-serbi 
 Mikro 
 Penysihan Piutang Tak Tertagih 
</t>
        </r>
      </text>
    </comment>
    <comment ref="J13" authorId="0" shapeId="0">
      <text>
        <r>
          <rPr>
            <b/>
            <sz val="9"/>
            <color indexed="81"/>
            <rFont val="Tahoma"/>
            <family val="2"/>
          </rPr>
          <t>user:</t>
        </r>
        <r>
          <rPr>
            <sz val="9"/>
            <color indexed="81"/>
            <rFont val="Tahoma"/>
            <family val="2"/>
          </rPr>
          <t xml:space="preserve">
Simpanan Tagon</t>
        </r>
      </text>
    </comment>
    <comment ref="K13" authorId="0" shapeId="0">
      <text>
        <r>
          <rPr>
            <b/>
            <sz val="9"/>
            <color indexed="81"/>
            <rFont val="Tahoma"/>
            <family val="2"/>
          </rPr>
          <t>user:</t>
        </r>
        <r>
          <rPr>
            <sz val="9"/>
            <color indexed="81"/>
            <rFont val="Tahoma"/>
            <family val="2"/>
          </rPr>
          <t xml:space="preserve">
 PENDIDIKAN 
 KENDARAAN 
 PONJEN 
 PESTA 
 TIARA 
 ROHANI / UMROH 
 DARURAT 
</t>
        </r>
      </text>
    </comment>
    <comment ref="M13" authorId="0" shapeId="0">
      <text>
        <r>
          <rPr>
            <b/>
            <sz val="9"/>
            <color indexed="81"/>
            <rFont val="Tahoma"/>
            <family val="2"/>
          </rPr>
          <t>user:</t>
        </r>
        <r>
          <rPr>
            <sz val="9"/>
            <color indexed="81"/>
            <rFont val="Tahoma"/>
            <family val="2"/>
          </rPr>
          <t xml:space="preserve">
P. Menambah Simpanan
P. Produktif
P. Kendaraan
P. Pendidikan
</t>
        </r>
      </text>
    </comment>
    <comment ref="J14" authorId="0" shapeId="0">
      <text>
        <r>
          <rPr>
            <b/>
            <sz val="9"/>
            <color indexed="81"/>
            <rFont val="Tahoma"/>
            <family val="2"/>
          </rPr>
          <t>user:</t>
        </r>
        <r>
          <rPr>
            <sz val="9"/>
            <color indexed="81"/>
            <rFont val="Tahoma"/>
            <family val="2"/>
          </rPr>
          <t xml:space="preserve">
Tampan</t>
        </r>
      </text>
    </comment>
    <comment ref="K14" authorId="0" shapeId="0">
      <text>
        <r>
          <rPr>
            <b/>
            <sz val="9"/>
            <color indexed="81"/>
            <rFont val="Tahoma"/>
            <family val="2"/>
          </rPr>
          <t>user:</t>
        </r>
        <r>
          <rPr>
            <sz val="9"/>
            <color indexed="81"/>
            <rFont val="Tahoma"/>
            <family val="2"/>
          </rPr>
          <t xml:space="preserve">
Tumbuh
Simpanan Perumahan
Simpanan Kendaraan
Simpanan Pendidikan
SBPLK
</t>
        </r>
      </text>
    </comment>
    <comment ref="M14" authorId="0" shapeId="0">
      <text>
        <r>
          <rPr>
            <b/>
            <sz val="9"/>
            <color indexed="81"/>
            <rFont val="Tahoma"/>
            <family val="2"/>
          </rPr>
          <t>user:</t>
        </r>
        <r>
          <rPr>
            <sz val="9"/>
            <color indexed="81"/>
            <rFont val="Tahoma"/>
            <family val="2"/>
          </rPr>
          <t xml:space="preserve">
Pinjaman Kredit Simpanan
Pinjaman Jangka Pendek
Pinjaman Jangka Panjang
Pinjaman Sebrakan
Pinjaman Perumahan
Pinjaman Kendaraan
Pinjaman Elektronik
Pinjaman Modal Usaha
Pinjaman Lembaga
Pinjaman Khusus Take Over
Pinjaman Khusus Pensiun
Pinjaman Pendidikan 
Piutang Ragu-ragu
</t>
        </r>
      </text>
    </comment>
    <comment ref="J15" authorId="0" shapeId="0">
      <text>
        <r>
          <rPr>
            <b/>
            <sz val="9"/>
            <color indexed="81"/>
            <rFont val="Tahoma"/>
            <family val="2"/>
          </rPr>
          <t>user:</t>
        </r>
        <r>
          <rPr>
            <sz val="9"/>
            <color indexed="81"/>
            <rFont val="Tahoma"/>
            <family val="2"/>
          </rPr>
          <t xml:space="preserve">
THO HIW MK</t>
        </r>
      </text>
    </comment>
    <comment ref="K15" authorId="0" shapeId="0">
      <text>
        <r>
          <rPr>
            <b/>
            <sz val="9"/>
            <color indexed="81"/>
            <rFont val="Tahoma"/>
            <family val="2"/>
          </rPr>
          <t>user:</t>
        </r>
        <r>
          <rPr>
            <sz val="9"/>
            <color indexed="81"/>
            <rFont val="Tahoma"/>
            <family val="2"/>
          </rPr>
          <t xml:space="preserve">
OTO MK
GRIYA MK
PELITA MK
</t>
        </r>
      </text>
    </comment>
    <comment ref="M15" authorId="0" shapeId="0">
      <text>
        <r>
          <rPr>
            <b/>
            <sz val="9"/>
            <color indexed="81"/>
            <rFont val="Tahoma"/>
            <family val="2"/>
          </rPr>
          <t>user:</t>
        </r>
        <r>
          <rPr>
            <sz val="9"/>
            <color indexed="81"/>
            <rFont val="Tahoma"/>
            <family val="2"/>
          </rPr>
          <t xml:space="preserve">
Pinjaman Menambah Simpanan
Pinjaman Cepat
Pinjaman Serba Serbi
Pinjaman Mikro
Pinjaman OTO MK
Pinjaman GRIYA MK
Pinjaman PELITA MK
</t>
        </r>
      </text>
    </comment>
    <comment ref="J16" authorId="0" shapeId="0">
      <text>
        <r>
          <rPr>
            <b/>
            <sz val="9"/>
            <color indexed="81"/>
            <rFont val="Tahoma"/>
            <family val="2"/>
          </rPr>
          <t>user:</t>
        </r>
        <r>
          <rPr>
            <sz val="9"/>
            <color indexed="81"/>
            <rFont val="Tahoma"/>
            <family val="2"/>
          </rPr>
          <t xml:space="preserve">
semai</t>
        </r>
      </text>
    </comment>
    <comment ref="K16" authorId="0" shapeId="0">
      <text>
        <r>
          <rPr>
            <b/>
            <sz val="9"/>
            <color indexed="81"/>
            <rFont val="Tahoma"/>
            <family val="2"/>
          </rPr>
          <t>user:</t>
        </r>
        <r>
          <rPr>
            <sz val="9"/>
            <color indexed="81"/>
            <rFont val="Tahoma"/>
            <family val="2"/>
          </rPr>
          <t xml:space="preserve">
Lumbung
Pandai Junior
Deposito CUMI
Ziarah
Pandai  
</t>
        </r>
      </text>
    </comment>
    <comment ref="M16" authorId="0" shapeId="0">
      <text>
        <r>
          <rPr>
            <b/>
            <sz val="9"/>
            <color indexed="81"/>
            <rFont val="Tahoma"/>
            <family val="2"/>
          </rPr>
          <t>user:</t>
        </r>
        <r>
          <rPr>
            <sz val="9"/>
            <color indexed="81"/>
            <rFont val="Tahoma"/>
            <family val="2"/>
          </rPr>
          <t xml:space="preserve">
Piutang Ikhtiar
Piutang Bestari
Piutang Benih
Piutang Perumahan
Piutang Aguna
Piutang Wahana
Piutang Bermasalah
</t>
        </r>
      </text>
    </comment>
    <comment ref="J17" authorId="0" shapeId="0">
      <text>
        <r>
          <rPr>
            <b/>
            <sz val="9"/>
            <color indexed="81"/>
            <rFont val="Tahoma"/>
            <family val="2"/>
          </rPr>
          <t>user:</t>
        </r>
        <r>
          <rPr>
            <sz val="9"/>
            <color indexed="81"/>
            <rFont val="Tahoma"/>
            <family val="2"/>
          </rPr>
          <t xml:space="preserve">
Simpanan Halasa</t>
        </r>
      </text>
    </comment>
    <comment ref="K17" authorId="0" shapeId="0">
      <text>
        <r>
          <rPr>
            <b/>
            <sz val="9"/>
            <color indexed="81"/>
            <rFont val="Tahoma"/>
            <family val="2"/>
          </rPr>
          <t>user:</t>
        </r>
        <r>
          <rPr>
            <sz val="9"/>
            <color indexed="81"/>
            <rFont val="Tahoma"/>
            <family val="2"/>
          </rPr>
          <t xml:space="preserve">
Simpanan Asoa
Simpanan Liwio
Simpanan Kendaraan Bermotor
</t>
        </r>
      </text>
    </comment>
    <comment ref="M17" authorId="0" shapeId="0">
      <text>
        <r>
          <rPr>
            <b/>
            <sz val="9"/>
            <color indexed="81"/>
            <rFont val="Tahoma"/>
            <family val="2"/>
          </rPr>
          <t>user:</t>
        </r>
        <r>
          <rPr>
            <sz val="9"/>
            <color indexed="81"/>
            <rFont val="Tahoma"/>
            <family val="2"/>
          </rPr>
          <t xml:space="preserve">
Piutang Modal Tabungan (PMT)
Piutang Usaha Produktif Umum
Piutang Produktif Khusus
Piutang Klp Binaan Peternak Babi
Piutang Konsumtif Umum
Piutang Kepemilikan Tanah Dan Rumah
Piutang Kendaraan Bermotor
Piutang Khusus Laptop
Piutang Ragu-ragu
</t>
        </r>
      </text>
    </comment>
    <comment ref="J18" authorId="0" shapeId="0">
      <text>
        <r>
          <rPr>
            <b/>
            <sz val="9"/>
            <color indexed="81"/>
            <rFont val="Tahoma"/>
            <family val="2"/>
          </rPr>
          <t>user:</t>
        </r>
        <r>
          <rPr>
            <sz val="9"/>
            <color indexed="81"/>
            <rFont val="Tahoma"/>
            <family val="2"/>
          </rPr>
          <t xml:space="preserve">
SIHARTA</t>
        </r>
      </text>
    </comment>
    <comment ref="K18" authorId="0" shapeId="0">
      <text>
        <r>
          <rPr>
            <b/>
            <sz val="9"/>
            <color indexed="81"/>
            <rFont val="Tahoma"/>
            <family val="2"/>
          </rPr>
          <t>user:</t>
        </r>
        <r>
          <rPr>
            <sz val="9"/>
            <color indexed="81"/>
            <rFont val="Tahoma"/>
            <family val="2"/>
          </rPr>
          <t xml:space="preserve">
SIBENDI 
 SIMPANAN GEMI NASTITI 
 SIMPANAN SAMEKTA 
</t>
        </r>
      </text>
    </comment>
    <comment ref="M18" authorId="0" shapeId="0">
      <text>
        <r>
          <rPr>
            <b/>
            <sz val="9"/>
            <color indexed="81"/>
            <rFont val="Tahoma"/>
            <family val="2"/>
          </rPr>
          <t>user:</t>
        </r>
        <r>
          <rPr>
            <sz val="9"/>
            <color indexed="81"/>
            <rFont val="Tahoma"/>
            <family val="2"/>
          </rPr>
          <t xml:space="preserve">
      Piutang Menambah Simpanan
      Piutang Produktif
      Piutang Umum
      Piutang Gemi Nastiti
      PIUTANG SEBRAKAN
      Penyisihan Piutang Tak Tertagih
</t>
        </r>
      </text>
    </comment>
    <comment ref="J19" authorId="0" shapeId="0">
      <text>
        <r>
          <rPr>
            <b/>
            <sz val="9"/>
            <color indexed="81"/>
            <rFont val="Tahoma"/>
            <family val="2"/>
          </rPr>
          <t>user:</t>
        </r>
        <r>
          <rPr>
            <sz val="9"/>
            <color indexed="81"/>
            <rFont val="Tahoma"/>
            <family val="2"/>
          </rPr>
          <t xml:space="preserve">
Sinata</t>
        </r>
      </text>
    </comment>
    <comment ref="K19" authorId="0" shapeId="0">
      <text>
        <r>
          <rPr>
            <b/>
            <sz val="9"/>
            <color indexed="81"/>
            <rFont val="Tahoma"/>
            <family val="2"/>
          </rPr>
          <t>user:</t>
        </r>
        <r>
          <rPr>
            <sz val="9"/>
            <color indexed="81"/>
            <rFont val="Tahoma"/>
            <family val="2"/>
          </rPr>
          <t xml:space="preserve">
Simpanan Siparan
Simpanan TAS
Simpanan Lamin DL
Simpanan Oto DL
Simpanan Wedding DL
Simpanan Happy DL
Simpanan SIWITA
Simpanan NGUYOQ
</t>
        </r>
      </text>
    </comment>
    <comment ref="M19" authorId="0" shapeId="0">
      <text>
        <r>
          <rPr>
            <b/>
            <sz val="9"/>
            <color indexed="81"/>
            <rFont val="Tahoma"/>
            <family val="2"/>
          </rPr>
          <t>user:</t>
        </r>
        <r>
          <rPr>
            <sz val="9"/>
            <color indexed="81"/>
            <rFont val="Tahoma"/>
            <family val="2"/>
          </rPr>
          <t xml:space="preserve">
   Piutang Umum
   Piutang Lamin DL
   Piutang Oto DL
   Piutang Wedding
</t>
        </r>
      </text>
    </comment>
    <comment ref="J20" authorId="0" shapeId="0">
      <text>
        <r>
          <rPr>
            <b/>
            <sz val="9"/>
            <color indexed="81"/>
            <rFont val="Tahoma"/>
            <family val="2"/>
          </rPr>
          <t>user:</t>
        </r>
        <r>
          <rPr>
            <sz val="9"/>
            <color indexed="81"/>
            <rFont val="Tahoma"/>
            <family val="2"/>
          </rPr>
          <t xml:space="preserve">
WIRANG</t>
        </r>
      </text>
    </comment>
    <comment ref="K20" authorId="0" shapeId="0">
      <text>
        <r>
          <rPr>
            <b/>
            <sz val="9"/>
            <color indexed="81"/>
            <rFont val="Tahoma"/>
            <family val="2"/>
          </rPr>
          <t>user:</t>
        </r>
        <r>
          <rPr>
            <sz val="9"/>
            <color indexed="81"/>
            <rFont val="Tahoma"/>
            <family val="2"/>
          </rPr>
          <t xml:space="preserve">
TABUR 
 T A S 
 TAHARA 
 TAWINI 
 SIBUN 
 SIRUM 
 PASCA PANEN 
 SISUKA 
</t>
        </r>
      </text>
    </comment>
    <comment ref="M20" authorId="0" shapeId="0">
      <text>
        <r>
          <rPr>
            <b/>
            <sz val="9"/>
            <color indexed="81"/>
            <rFont val="Tahoma"/>
            <family val="2"/>
          </rPr>
          <t>user:</t>
        </r>
        <r>
          <rPr>
            <sz val="9"/>
            <color indexed="81"/>
            <rFont val="Tahoma"/>
            <family val="2"/>
          </rPr>
          <t xml:space="preserve">
1. Modal / Kapitalisasi 
 2. Konsuntif 
 3. Produktif 
 4. PNS 
 5. Kendaraan Bermotor 
 6. Perumahan 
 7. Pikabun 
 8. Pasca Panen 
 9. Pinjaman Cepat 
 10. Pinjaman Khusus 
</t>
        </r>
      </text>
    </comment>
    <comment ref="J21" authorId="0" shapeId="0">
      <text>
        <r>
          <rPr>
            <b/>
            <sz val="9"/>
            <color indexed="81"/>
            <rFont val="Tahoma"/>
            <family val="2"/>
          </rPr>
          <t>user:</t>
        </r>
        <r>
          <rPr>
            <sz val="9"/>
            <color indexed="81"/>
            <rFont val="Tahoma"/>
            <family val="2"/>
          </rPr>
          <t xml:space="preserve">
SINERA</t>
        </r>
      </text>
    </comment>
    <comment ref="K21" authorId="0" shapeId="0">
      <text>
        <r>
          <rPr>
            <b/>
            <sz val="9"/>
            <color indexed="81"/>
            <rFont val="Tahoma"/>
            <family val="2"/>
          </rPr>
          <t>user:</t>
        </r>
        <r>
          <rPr>
            <sz val="9"/>
            <color indexed="81"/>
            <rFont val="Tahoma"/>
            <family val="2"/>
          </rPr>
          <t xml:space="preserve">
3. SINERA
4. Pulung Bua
5. Simpanan Lepo
6. Simpanan Alud
7. Simpanan Tawek
Total Simpanan Padanan
8.   Sapuktau
9.   Sapuktau Sekula
10. SIP
</t>
        </r>
      </text>
    </comment>
    <comment ref="M21" authorId="0" shapeId="0">
      <text>
        <r>
          <rPr>
            <b/>
            <sz val="9"/>
            <color indexed="81"/>
            <rFont val="Tahoma"/>
            <family val="2"/>
          </rPr>
          <t>user:</t>
        </r>
        <r>
          <rPr>
            <sz val="9"/>
            <color indexed="81"/>
            <rFont val="Tahoma"/>
            <family val="2"/>
          </rPr>
          <t xml:space="preserve">
1. Tara/Kapitalisasi
2. Produktif/Usaha
3. Serba Serbi
4. Lepo/Rumah
5. Alud/Kendaraan
6. Tawek
7. Mikro
8. Khusus 
</t>
        </r>
      </text>
    </comment>
    <comment ref="J22" authorId="0" shapeId="0">
      <text>
        <r>
          <rPr>
            <b/>
            <sz val="9"/>
            <color indexed="81"/>
            <rFont val="Tahoma"/>
            <family val="2"/>
          </rPr>
          <t>user:</t>
        </r>
        <r>
          <rPr>
            <sz val="9"/>
            <color indexed="81"/>
            <rFont val="Tahoma"/>
            <family val="2"/>
          </rPr>
          <t xml:space="preserve">
Kecubung Prima</t>
        </r>
      </text>
    </comment>
    <comment ref="K22" authorId="0" shapeId="0">
      <text>
        <r>
          <rPr>
            <b/>
            <sz val="9"/>
            <color indexed="81"/>
            <rFont val="Tahoma"/>
            <family val="2"/>
          </rPr>
          <t>user:</t>
        </r>
        <r>
          <rPr>
            <sz val="9"/>
            <color indexed="81"/>
            <rFont val="Tahoma"/>
            <family val="2"/>
          </rPr>
          <t xml:space="preserve">
Simpanan Jurung 
 Simpanan Saku 
 Simpanan Berjangka DETRA 
 Simpanan Hari Raya 
 Simpanan Pendidikan 
 Simpanan Perumahan 
 Simpanan Kendaraan Bermotor 
 Simpanan Pensiun Pengelola 
</t>
        </r>
      </text>
    </comment>
    <comment ref="M22" authorId="0" shapeId="0">
      <text>
        <r>
          <rPr>
            <b/>
            <sz val="9"/>
            <color indexed="81"/>
            <rFont val="Tahoma"/>
            <family val="2"/>
          </rPr>
          <t>user:</t>
        </r>
        <r>
          <rPr>
            <sz val="9"/>
            <color indexed="81"/>
            <rFont val="Tahoma"/>
            <family val="2"/>
          </rPr>
          <t xml:space="preserve">
Piutang Membangun Simpanan 
 Piutang Produktif 
 Piutang Konsumtif 
 Piutang Pendanaan Proyek 
 Piutang Kendaraan Bermotor 
 Piutang Kepemilikan Perumahan 
 Piutang Kepemilikan Tanah Kapling 
 Piutang Pendidikan 
 Piutang Pasca Panen 
 Piutang Pengelola 
 Penyisihan Piutang Tk Tertagih 
</t>
        </r>
      </text>
    </comment>
    <comment ref="J23" authorId="0" shapeId="0">
      <text>
        <r>
          <rPr>
            <b/>
            <sz val="9"/>
            <color indexed="81"/>
            <rFont val="Tahoma"/>
            <family val="2"/>
          </rPr>
          <t>user:</t>
        </r>
        <r>
          <rPr>
            <sz val="9"/>
            <color indexed="81"/>
            <rFont val="Tahoma"/>
            <family val="2"/>
          </rPr>
          <t xml:space="preserve">
SEDI</t>
        </r>
      </text>
    </comment>
    <comment ref="K23" authorId="0" shapeId="0">
      <text>
        <r>
          <rPr>
            <b/>
            <sz val="9"/>
            <color indexed="81"/>
            <rFont val="Tahoma"/>
            <family val="2"/>
          </rPr>
          <t>user:</t>
        </r>
        <r>
          <rPr>
            <sz val="9"/>
            <color indexed="81"/>
            <rFont val="Tahoma"/>
            <family val="2"/>
          </rPr>
          <t xml:space="preserve">
SIMBARAN
SIMUDA
SIHARA
PROPERTI
SOKANO
SEN JAJI
</t>
        </r>
      </text>
    </comment>
    <comment ref="M23" authorId="0" shapeId="0">
      <text>
        <r>
          <rPr>
            <b/>
            <sz val="9"/>
            <color indexed="81"/>
            <rFont val="Tahoma"/>
            <family val="2"/>
          </rPr>
          <t>user:</t>
        </r>
        <r>
          <rPr>
            <sz val="9"/>
            <color indexed="81"/>
            <rFont val="Tahoma"/>
            <family val="2"/>
          </rPr>
          <t xml:space="preserve">
1. Produktif
2. Konsumtif
3, Darurat
4, Progresif
5, Properti
</t>
        </r>
      </text>
    </comment>
    <comment ref="J24" authorId="0" shapeId="0">
      <text>
        <r>
          <rPr>
            <b/>
            <sz val="9"/>
            <color indexed="81"/>
            <rFont val="Tahoma"/>
            <family val="2"/>
          </rPr>
          <t>user:</t>
        </r>
        <r>
          <rPr>
            <sz val="9"/>
            <color indexed="81"/>
            <rFont val="Tahoma"/>
            <family val="2"/>
          </rPr>
          <t xml:space="preserve">
SIDAYA</t>
        </r>
      </text>
    </comment>
    <comment ref="K24" authorId="0" shapeId="0">
      <text>
        <r>
          <rPr>
            <b/>
            <sz val="9"/>
            <color indexed="81"/>
            <rFont val="Tahoma"/>
            <family val="2"/>
          </rPr>
          <t>user:</t>
        </r>
        <r>
          <rPr>
            <sz val="9"/>
            <color indexed="81"/>
            <rFont val="Tahoma"/>
            <family val="2"/>
          </rPr>
          <t xml:space="preserve">
Simpanan Noken
Simpanan Sidaya
Simpanan Simantap
Simpanan Sindaran
Simpanan Pendidikan
Simpanan Hari Raya
</t>
        </r>
      </text>
    </comment>
    <comment ref="M24" authorId="0" shapeId="0">
      <text>
        <r>
          <rPr>
            <b/>
            <sz val="9"/>
            <color indexed="81"/>
            <rFont val="Tahoma"/>
            <family val="2"/>
          </rPr>
          <t>user:</t>
        </r>
        <r>
          <rPr>
            <sz val="9"/>
            <color indexed="81"/>
            <rFont val="Tahoma"/>
            <family val="2"/>
          </rPr>
          <t xml:space="preserve">
Piutang Menambah Simpanan
Piutang Usaha Menengah
Piutang Usaha Kecil
Piutang Pertanian, Peternakan, Perikanan
Piutang Konsumtif
Piutang Pendidikan
Piutang Kendaraan Bermotor
Piutang Tanah Pekarangan
</t>
        </r>
      </text>
    </comment>
    <comment ref="J25" authorId="0" shapeId="0">
      <text>
        <r>
          <rPr>
            <b/>
            <sz val="9"/>
            <color indexed="81"/>
            <rFont val="Tahoma"/>
            <family val="2"/>
          </rPr>
          <t>user:</t>
        </r>
        <r>
          <rPr>
            <sz val="9"/>
            <color indexed="81"/>
            <rFont val="Tahoma"/>
            <family val="2"/>
          </rPr>
          <t xml:space="preserve">
 Animha</t>
        </r>
      </text>
    </comment>
    <comment ref="K25" authorId="0" shapeId="0">
      <text>
        <r>
          <rPr>
            <b/>
            <sz val="9"/>
            <color indexed="81"/>
            <rFont val="Tahoma"/>
            <family val="2"/>
          </rPr>
          <t>user:</t>
        </r>
        <r>
          <rPr>
            <sz val="9"/>
            <color indexed="81"/>
            <rFont val="Tahoma"/>
            <family val="2"/>
          </rPr>
          <t xml:space="preserve">
Simpanan Jowotang
Simpanan IBA (Deposito)
Simpanan Hari Raya (SIHARA)
Simpanan Perumahan
Simpanan Pelajar
</t>
        </r>
      </text>
    </comment>
    <comment ref="M25" authorId="0" shapeId="0">
      <text>
        <r>
          <rPr>
            <b/>
            <sz val="9"/>
            <color indexed="81"/>
            <rFont val="Tahoma"/>
            <family val="2"/>
          </rPr>
          <t>user:</t>
        </r>
        <r>
          <rPr>
            <sz val="9"/>
            <color indexed="81"/>
            <rFont val="Tahoma"/>
            <family val="2"/>
          </rPr>
          <t xml:space="preserve">
Piutang Menambah Simpanan
Piutang Produktif
Piutang Konsumtif
Pinjaman Khusus Staf
</t>
        </r>
      </text>
    </comment>
    <comment ref="J26" authorId="0" shapeId="0">
      <text>
        <r>
          <rPr>
            <b/>
            <sz val="9"/>
            <color indexed="81"/>
            <rFont val="Tahoma"/>
            <family val="2"/>
          </rPr>
          <t>user:</t>
        </r>
        <r>
          <rPr>
            <sz val="9"/>
            <color indexed="81"/>
            <rFont val="Tahoma"/>
            <family val="2"/>
          </rPr>
          <t xml:space="preserve">
Wini Liin</t>
        </r>
      </text>
    </comment>
    <comment ref="K26" authorId="0" shapeId="0">
      <text>
        <r>
          <rPr>
            <b/>
            <sz val="9"/>
            <color indexed="81"/>
            <rFont val="Tahoma"/>
            <family val="2"/>
          </rPr>
          <t>user:</t>
        </r>
        <r>
          <rPr>
            <sz val="9"/>
            <color indexed="81"/>
            <rFont val="Tahoma"/>
            <family val="2"/>
          </rPr>
          <t xml:space="preserve">
Sidadin
Sipintar
Ronan
Sigita
Wini Li'in
CUMI
Deposito Lepo Woga
Deposito Bisa Ngaisiang
Deposito Jarang Jata
Simpanan Lepo Woga
Simpanan Bisa Ngaisiang
Simpanan Jarang Jata
</t>
        </r>
      </text>
    </comment>
    <comment ref="M26" authorId="0" shapeId="0">
      <text>
        <r>
          <rPr>
            <b/>
            <sz val="9"/>
            <color indexed="81"/>
            <rFont val="Tahoma"/>
            <family val="2"/>
          </rPr>
          <t>user:</t>
        </r>
        <r>
          <rPr>
            <sz val="9"/>
            <color indexed="81"/>
            <rFont val="Tahoma"/>
            <family val="2"/>
          </rPr>
          <t xml:space="preserve">
Piutang Tabung Kembali
Piutang Usaha Produktif
Piutang Kelompok Binaan
Piutang Kesejahteraan
Piutang Perumahan
Piutang Pendidikan
Piutang Kendaraan
Piutang Produktif Khusus
Piutang Khusus
</t>
        </r>
      </text>
    </comment>
    <comment ref="J27" authorId="0" shapeId="0">
      <text>
        <r>
          <rPr>
            <b/>
            <sz val="9"/>
            <color indexed="81"/>
            <rFont val="Tahoma"/>
            <family val="2"/>
          </rPr>
          <t>user:</t>
        </r>
        <r>
          <rPr>
            <sz val="9"/>
            <color indexed="81"/>
            <rFont val="Tahoma"/>
            <family val="2"/>
          </rPr>
          <t xml:space="preserve">
Simpanan Mana</t>
        </r>
      </text>
    </comment>
    <comment ref="K27" authorId="0" shapeId="0">
      <text>
        <r>
          <rPr>
            <b/>
            <sz val="9"/>
            <color indexed="81"/>
            <rFont val="Tahoma"/>
            <family val="2"/>
          </rPr>
          <t>user:</t>
        </r>
        <r>
          <rPr>
            <sz val="9"/>
            <color indexed="81"/>
            <rFont val="Tahoma"/>
            <family val="2"/>
          </rPr>
          <t xml:space="preserve">
Simpanan Pasallo 
 Simpanan Alangsura 
 Simpanan Pantanakan 
 Simpanan Pasakke 
 Simpanan Banua Sura 
 Simpanan Matangkin 
 Simpanan Kendaraan Bermotor 
 Simpanan Ziarah Rohani 
Simpanan Rannuan 
 Simpanan Dana Hari Tua Staf (DHTS) 
</t>
        </r>
      </text>
    </comment>
    <comment ref="M27" authorId="0" shapeId="0">
      <text>
        <r>
          <rPr>
            <b/>
            <sz val="9"/>
            <color indexed="81"/>
            <rFont val="Tahoma"/>
            <family val="2"/>
          </rPr>
          <t>user:</t>
        </r>
        <r>
          <rPr>
            <sz val="9"/>
            <color indexed="81"/>
            <rFont val="Tahoma"/>
            <family val="2"/>
          </rPr>
          <t xml:space="preserve">
Pinjaman Modal Tabungan (PMT)
Pinjaman Modal Tabungan Rannuan
Pinjaman Usaha Dagang
Pinjaman pertanian,Peternakan&amp;Perikanan
Pinjaman Usaha Jasa
Pinjaman Kepemilikan Tanah
Pinjaman Kepemilikan Rumah
Pinjaman Pendidikan
Pinjaman Kesehatan
Pinjaman Kendaraan Bermotor
Pinjaman Peralatan Rumah Tangga
Pinjaman Acara Adat
Pinjaman  Ziarah Rohani
Pinjaman kelompok Binaan
Pinjaman CUMI
Pinjaman Khusus
</t>
        </r>
      </text>
    </comment>
    <comment ref="J28" authorId="0" shapeId="0">
      <text>
        <r>
          <rPr>
            <b/>
            <sz val="9"/>
            <color indexed="81"/>
            <rFont val="Tahoma"/>
            <family val="2"/>
          </rPr>
          <t>user:</t>
        </r>
        <r>
          <rPr>
            <sz val="9"/>
            <color indexed="81"/>
            <rFont val="Tahoma"/>
            <family val="2"/>
          </rPr>
          <t xml:space="preserve">
Jagona</t>
        </r>
      </text>
    </comment>
    <comment ref="K28" authorId="0" shapeId="0">
      <text>
        <r>
          <rPr>
            <b/>
            <sz val="9"/>
            <color indexed="81"/>
            <rFont val="Tahoma"/>
            <family val="2"/>
          </rPr>
          <t>user:</t>
        </r>
        <r>
          <rPr>
            <sz val="9"/>
            <color indexed="81"/>
            <rFont val="Tahoma"/>
            <family val="2"/>
          </rPr>
          <t xml:space="preserve">
Simpanan Jagona 
 Simpanan Jagona Junior 
 Simpanan Singara 
 Simpanan Tapen 
 Simpanan Gammara 
 Simpanan Baruga 
 Simpanan Tulus 
 Simpanan Sidian 
 Simpanan Sipanda 
 Simpanan Sitor 
 Simpanan Berkah 
</t>
        </r>
      </text>
    </comment>
    <comment ref="M28" authorId="0" shapeId="0">
      <text>
        <r>
          <rPr>
            <b/>
            <sz val="9"/>
            <color indexed="81"/>
            <rFont val="Tahoma"/>
            <family val="2"/>
          </rPr>
          <t>user:</t>
        </r>
        <r>
          <rPr>
            <sz val="9"/>
            <color indexed="81"/>
            <rFont val="Tahoma"/>
            <family val="2"/>
          </rPr>
          <t xml:space="preserve">
Piutang Modal Tabungan 
 Piutang Usaha Menengah 
 Piutang Usaha Kecil 
 Piutang Kebutuahan Keluarga 
 Piutang Kepemilikan Kendaraan Bermotor 
 Piutang Kepemilikan Tanah &amp; Perumahan 
 Piutang Modal Tabungan Baruga 
 Piutang Pendidikan 
 Piutang Kelompok Binaan 
 Piutang Perkebunan dan Pertanian 
 Piutang Khusus Pengurus/Komite 
</t>
        </r>
      </text>
    </comment>
    <comment ref="J29" authorId="0" shapeId="0">
      <text>
        <r>
          <rPr>
            <b/>
            <sz val="9"/>
            <color indexed="81"/>
            <rFont val="Tahoma"/>
            <family val="2"/>
          </rPr>
          <t>user:</t>
        </r>
        <r>
          <rPr>
            <sz val="9"/>
            <color indexed="81"/>
            <rFont val="Tahoma"/>
            <family val="2"/>
          </rPr>
          <t xml:space="preserve">
Wini</t>
        </r>
      </text>
    </comment>
    <comment ref="K29" authorId="0" shapeId="0">
      <text>
        <r>
          <rPr>
            <b/>
            <sz val="9"/>
            <color indexed="81"/>
            <rFont val="Tahoma"/>
            <family val="2"/>
          </rPr>
          <t>user:</t>
        </r>
        <r>
          <rPr>
            <sz val="9"/>
            <color indexed="81"/>
            <rFont val="Tahoma"/>
            <family val="2"/>
          </rPr>
          <t xml:space="preserve">
Wonga A 
 Wonga B 
 Wea 
</t>
        </r>
      </text>
    </comment>
    <comment ref="M29" authorId="0" shapeId="0">
      <text>
        <r>
          <rPr>
            <b/>
            <sz val="9"/>
            <color indexed="81"/>
            <rFont val="Tahoma"/>
            <family val="2"/>
          </rPr>
          <t>user:</t>
        </r>
        <r>
          <rPr>
            <sz val="9"/>
            <color indexed="81"/>
            <rFont val="Tahoma"/>
            <family val="2"/>
          </rPr>
          <t xml:space="preserve">
Piutang Tabung Kembali
Piutang Tabung Kembali Sa'o
Piutang Tabung Kembali Tandak
Piutang Usaha Dagang
Piutang Pertanian
Piutang Peternakan
Piutang Usaha Bengkel
Piutang Rumah Kost
Piutang Kepemilikan Motor
Piutang Kepemilikan Mobil
Piutang Perabot Rumah Tangga
Piutang Elektronik
Piutang Renovasi Rumah
Piutang Kesehatan
Piutang Pesta
Piutang Kesejahteraan Lainnya
Piutang Kepemilikan Tanah
Piutang Kepemilikan Sa'o
Piutang Pendidikan Dasar dan Menengah
Piutang Pendidikan Tinggi
Piutang Kelompok Kerajinan Tangan
Piutang Kelompok Peternakan
Piutang Kelompok Pertanian
Piutang Produktif Khusus
Piutang Khusus Staf
Piutang Khusus Pengurus dan Pengawas
Penyisihan Piutang Tak Tertagih
</t>
        </r>
      </text>
    </comment>
    <comment ref="J30" authorId="0" shapeId="0">
      <text>
        <r>
          <rPr>
            <b/>
            <sz val="9"/>
            <color indexed="81"/>
            <rFont val="Tahoma"/>
            <family val="2"/>
          </rPr>
          <t>user:</t>
        </r>
        <r>
          <rPr>
            <sz val="9"/>
            <color indexed="81"/>
            <rFont val="Tahoma"/>
            <family val="2"/>
          </rPr>
          <t xml:space="preserve">
SISARON</t>
        </r>
      </text>
    </comment>
    <comment ref="K30" authorId="0" shapeId="0">
      <text>
        <r>
          <rPr>
            <b/>
            <sz val="9"/>
            <color indexed="81"/>
            <rFont val="Tahoma"/>
            <family val="2"/>
          </rPr>
          <t>user:</t>
        </r>
        <r>
          <rPr>
            <sz val="9"/>
            <color indexed="81"/>
            <rFont val="Tahoma"/>
            <family val="2"/>
          </rPr>
          <t xml:space="preserve">
Simpanan Perumahan
Simpanan Kendaraan
TANGKAS
SIHARA
TABUR
TABAH
</t>
        </r>
      </text>
    </comment>
    <comment ref="M30" authorId="0" shapeId="0">
      <text>
        <r>
          <rPr>
            <b/>
            <sz val="9"/>
            <color indexed="81"/>
            <rFont val="Tahoma"/>
            <family val="2"/>
          </rPr>
          <t>user:</t>
        </r>
        <r>
          <rPr>
            <sz val="9"/>
            <color indexed="81"/>
            <rFont val="Tahoma"/>
            <family val="2"/>
          </rPr>
          <t xml:space="preserve">
IMBAS
Piutang Perumahan
Piutang Kendaraan
Piutang Pendidikan
Piutang Produktif
Piutang Kesejahteraan
</t>
        </r>
      </text>
    </comment>
    <comment ref="J31" authorId="0" shapeId="0">
      <text>
        <r>
          <rPr>
            <b/>
            <sz val="9"/>
            <color indexed="81"/>
            <rFont val="Tahoma"/>
            <family val="2"/>
          </rPr>
          <t>user:</t>
        </r>
        <r>
          <rPr>
            <sz val="9"/>
            <color indexed="81"/>
            <rFont val="Tahoma"/>
            <family val="2"/>
          </rPr>
          <t xml:space="preserve">
FINI</t>
        </r>
      </text>
    </comment>
    <comment ref="K31" authorId="0" shapeId="0">
      <text>
        <r>
          <rPr>
            <b/>
            <sz val="9"/>
            <color indexed="81"/>
            <rFont val="Tahoma"/>
            <family val="2"/>
          </rPr>
          <t>user:</t>
        </r>
        <r>
          <rPr>
            <sz val="9"/>
            <color indexed="81"/>
            <rFont val="Tahoma"/>
            <family val="2"/>
          </rPr>
          <t xml:space="preserve">
SUFA, LOPO,Simpanan Pendidikan, Simpanan Perumahan,Simpanan Masa Sulit,Simpanan Uma Metan,Simpanan Mahinat Matenek,Simpanan Hari Tua Staf</t>
        </r>
      </text>
    </comment>
    <comment ref="M31" authorId="0" shapeId="0">
      <text>
        <r>
          <rPr>
            <b/>
            <sz val="9"/>
            <color indexed="81"/>
            <rFont val="Tahoma"/>
            <family val="2"/>
          </rPr>
          <t>user:</t>
        </r>
        <r>
          <rPr>
            <sz val="9"/>
            <color indexed="81"/>
            <rFont val="Tahoma"/>
            <family val="2"/>
          </rPr>
          <t xml:space="preserve">
Piutang PINTA
Piutang Produktif
Piutang Uma Kain
Piutang Kendaraan Bermotor
Piutang Kepemilikan Rumah
Piutang Komunitas Basis
Piutang Pendidikan
Piutang Uma Metan
</t>
        </r>
      </text>
    </comment>
    <comment ref="J32" authorId="0" shapeId="0">
      <text>
        <r>
          <rPr>
            <b/>
            <sz val="9"/>
            <color indexed="81"/>
            <rFont val="Tahoma"/>
            <family val="2"/>
          </rPr>
          <t>user:</t>
        </r>
        <r>
          <rPr>
            <sz val="9"/>
            <color indexed="81"/>
            <rFont val="Tahoma"/>
            <family val="2"/>
          </rPr>
          <t xml:space="preserve">
Prima Investa</t>
        </r>
      </text>
    </comment>
    <comment ref="K32" authorId="0" shapeId="0">
      <text>
        <r>
          <rPr>
            <b/>
            <sz val="9"/>
            <color indexed="81"/>
            <rFont val="Tahoma"/>
            <family val="2"/>
          </rPr>
          <t>user:</t>
        </r>
        <r>
          <rPr>
            <sz val="9"/>
            <color indexed="81"/>
            <rFont val="Tahoma"/>
            <family val="2"/>
          </rPr>
          <t xml:space="preserve">
Master
Prima Deposit
Bina
Cerdas
Bintang
Benteng
Bina Griya
</t>
        </r>
      </text>
    </comment>
    <comment ref="M32" authorId="0" shapeId="0">
      <text>
        <r>
          <rPr>
            <b/>
            <sz val="9"/>
            <color indexed="81"/>
            <rFont val="Tahoma"/>
            <family val="2"/>
          </rPr>
          <t>user:</t>
        </r>
        <r>
          <rPr>
            <sz val="9"/>
            <color indexed="81"/>
            <rFont val="Tahoma"/>
            <family val="2"/>
          </rPr>
          <t xml:space="preserve">
Pundi
Produktif
Kesejahteraan
Umum
Maturity
Kendaraan
Pendidikan
</t>
        </r>
      </text>
    </comment>
    <comment ref="J33" authorId="0" shapeId="0">
      <text>
        <r>
          <rPr>
            <b/>
            <sz val="9"/>
            <color indexed="81"/>
            <rFont val="Tahoma"/>
            <family val="2"/>
          </rPr>
          <t>user:</t>
        </r>
        <r>
          <rPr>
            <sz val="9"/>
            <color indexed="81"/>
            <rFont val="Tahoma"/>
            <family val="2"/>
          </rPr>
          <t xml:space="preserve">
DUSUN</t>
        </r>
      </text>
    </comment>
    <comment ref="K33" authorId="0" shapeId="0">
      <text>
        <r>
          <rPr>
            <b/>
            <sz val="9"/>
            <color indexed="81"/>
            <rFont val="Tahoma"/>
            <family val="2"/>
          </rPr>
          <t>user:</t>
        </r>
        <r>
          <rPr>
            <sz val="9"/>
            <color indexed="81"/>
            <rFont val="Tahoma"/>
            <family val="2"/>
          </rPr>
          <t xml:space="preserve">
Lenso 
 Sasi 
 Paparisa 
 Sero 
</t>
        </r>
      </text>
    </comment>
    <comment ref="M33" authorId="0" shapeId="0">
      <text>
        <r>
          <rPr>
            <b/>
            <sz val="9"/>
            <color indexed="81"/>
            <rFont val="Tahoma"/>
            <family val="2"/>
          </rPr>
          <t>user:</t>
        </r>
        <r>
          <rPr>
            <sz val="9"/>
            <color indexed="81"/>
            <rFont val="Tahoma"/>
            <family val="2"/>
          </rPr>
          <t xml:space="preserve">
Menambah Simpanan 
 Produktif 
 Konsumtif 
 Pendidikan 
 Kelompok Binaan 
 Khusus 
 Paparisa 
Penyisihan Piutang Tak Tertagih</t>
        </r>
      </text>
    </comment>
    <comment ref="J34" authorId="0" shapeId="0">
      <text>
        <r>
          <rPr>
            <b/>
            <sz val="9"/>
            <color indexed="81"/>
            <rFont val="Tahoma"/>
            <family val="2"/>
          </rPr>
          <t>user:</t>
        </r>
        <r>
          <rPr>
            <sz val="9"/>
            <color indexed="81"/>
            <rFont val="Tahoma"/>
            <family val="2"/>
          </rPr>
          <t xml:space="preserve">
SEHATI</t>
        </r>
      </text>
    </comment>
    <comment ref="K34" authorId="0" shapeId="0">
      <text>
        <r>
          <rPr>
            <b/>
            <sz val="9"/>
            <color indexed="81"/>
            <rFont val="Tahoma"/>
            <family val="2"/>
          </rPr>
          <t>user:</t>
        </r>
        <r>
          <rPr>
            <sz val="9"/>
            <color indexed="81"/>
            <rFont val="Tahoma"/>
            <family val="2"/>
          </rPr>
          <t xml:space="preserve">
Tari
Akurat
Tahara
Ijasah
Simpanan Sukarela Berjangka
Permata
</t>
        </r>
      </text>
    </comment>
    <comment ref="J35" authorId="0" shapeId="0">
      <text>
        <r>
          <rPr>
            <b/>
            <sz val="9"/>
            <color indexed="81"/>
            <rFont val="Tahoma"/>
            <family val="2"/>
          </rPr>
          <t>user:</t>
        </r>
        <r>
          <rPr>
            <sz val="9"/>
            <color indexed="81"/>
            <rFont val="Tahoma"/>
            <family val="2"/>
          </rPr>
          <t xml:space="preserve">
Simpanan Okop Ese</t>
        </r>
      </text>
    </comment>
    <comment ref="K35" authorId="0" shapeId="0">
      <text>
        <r>
          <rPr>
            <b/>
            <sz val="9"/>
            <color indexed="81"/>
            <rFont val="Tahoma"/>
            <family val="2"/>
          </rPr>
          <t>user:</t>
        </r>
        <r>
          <rPr>
            <sz val="9"/>
            <color indexed="81"/>
            <rFont val="Tahoma"/>
            <family val="2"/>
          </rPr>
          <t xml:space="preserve">
Simpanan Ese Ca - Darurat
Simpanan Acir - Harian
Simpanan Isi Cem - Perumahan
Simpanan An - Berjangka
Simpanan Tas - Pendidikan
Simpanan Acir - Calon Anggota
</t>
        </r>
      </text>
    </comment>
    <comment ref="L35" authorId="0" shapeId="0">
      <text>
        <r>
          <rPr>
            <b/>
            <sz val="9"/>
            <color indexed="81"/>
            <rFont val="Tahoma"/>
            <family val="2"/>
          </rPr>
          <t>user:</t>
        </r>
        <r>
          <rPr>
            <sz val="9"/>
            <color indexed="81"/>
            <rFont val="Tahoma"/>
            <family val="2"/>
          </rPr>
          <t xml:space="preserve">
HUTANG PANTAS DI BKCU KALIMANTAN</t>
        </r>
      </text>
    </comment>
    <comment ref="M35" authorId="0" shapeId="0">
      <text>
        <r>
          <rPr>
            <b/>
            <sz val="9"/>
            <color indexed="81"/>
            <rFont val="Tahoma"/>
            <family val="2"/>
          </rPr>
          <t>user:</t>
        </r>
        <r>
          <rPr>
            <sz val="9"/>
            <color indexed="81"/>
            <rFont val="Tahoma"/>
            <family val="2"/>
          </rPr>
          <t xml:space="preserve">
Piutang Produktif
Piutang Umum
Piutang Khusus
Piutang Perumahan
Piutang Siloam Lembaga
Piutang Majus
Piutang Wi - Pensiun
Piutang Pemberdayaan
Piutang Karyawan &amp; Pengurus
Piutang Tetap Tertagih
Penyisihan Piutang Tak Tertagih
</t>
        </r>
      </text>
    </comment>
    <comment ref="J36" authorId="0" shapeId="0">
      <text>
        <r>
          <rPr>
            <b/>
            <sz val="9"/>
            <color indexed="81"/>
            <rFont val="Tahoma"/>
            <family val="2"/>
          </rPr>
          <t>user:</t>
        </r>
        <r>
          <rPr>
            <sz val="9"/>
            <color indexed="81"/>
            <rFont val="Tahoma"/>
            <family val="2"/>
          </rPr>
          <t xml:space="preserve">
Simpanan Winni</t>
        </r>
      </text>
    </comment>
    <comment ref="K36" authorId="0" shapeId="0">
      <text>
        <r>
          <rPr>
            <b/>
            <sz val="9"/>
            <color indexed="81"/>
            <rFont val="Tahoma"/>
            <family val="2"/>
          </rPr>
          <t>user:</t>
        </r>
        <r>
          <rPr>
            <sz val="9"/>
            <color indexed="81"/>
            <rFont val="Tahoma"/>
            <family val="2"/>
          </rPr>
          <t xml:space="preserve">
Ballang
Pendidikan/TAS
Perumahan 
Pensiun
Wolla
</t>
        </r>
      </text>
    </comment>
    <comment ref="M36" authorId="0" shapeId="0">
      <text>
        <r>
          <rPr>
            <b/>
            <sz val="9"/>
            <color indexed="81"/>
            <rFont val="Tahoma"/>
            <family val="2"/>
          </rPr>
          <t>user:</t>
        </r>
        <r>
          <rPr>
            <sz val="9"/>
            <color indexed="81"/>
            <rFont val="Tahoma"/>
            <family val="2"/>
          </rPr>
          <t xml:space="preserve">
1. Kapitalisasi
2. Pendidikan
3. Perumahan
4. Umum
5. Khusus
</t>
        </r>
      </text>
    </comment>
    <comment ref="J37" authorId="0" shapeId="0">
      <text>
        <r>
          <rPr>
            <b/>
            <sz val="9"/>
            <color indexed="81"/>
            <rFont val="Tahoma"/>
            <family val="2"/>
          </rPr>
          <t>user:</t>
        </r>
        <r>
          <rPr>
            <sz val="9"/>
            <color indexed="81"/>
            <rFont val="Tahoma"/>
            <family val="2"/>
          </rPr>
          <t xml:space="preserve">
Tampan</t>
        </r>
      </text>
    </comment>
    <comment ref="K37" authorId="0" shapeId="0">
      <text>
        <r>
          <rPr>
            <b/>
            <sz val="9"/>
            <color indexed="81"/>
            <rFont val="Tahoma"/>
            <family val="2"/>
          </rPr>
          <t>user:</t>
        </r>
        <r>
          <rPr>
            <sz val="9"/>
            <color indexed="81"/>
            <rFont val="Tahoma"/>
            <family val="2"/>
          </rPr>
          <t xml:space="preserve">
 Setia 
 Taskoom 
 Sidia 
 Sinar 
 Siramah 
 Sadar 
 Sitor 
</t>
        </r>
      </text>
    </comment>
    <comment ref="M37" authorId="0" shapeId="0">
      <text>
        <r>
          <rPr>
            <b/>
            <sz val="9"/>
            <color indexed="81"/>
            <rFont val="Tahoma"/>
            <family val="2"/>
          </rPr>
          <t>user:</t>
        </r>
        <r>
          <rPr>
            <sz val="9"/>
            <color indexed="81"/>
            <rFont val="Tahoma"/>
            <family val="2"/>
          </rPr>
          <t xml:space="preserve">
Pinjaman Modal Tabungan
Piutang Wirausaha
Piutang Usaha Mikro
Piutang Konsumtif
Piutang Kepemilikan Kendaraan
Piutang Kepemilikan Tanah &amp; Perumahan
Piutang Ziarah Rohani
</t>
        </r>
      </text>
    </comment>
    <comment ref="J38" authorId="0" shapeId="0">
      <text>
        <r>
          <rPr>
            <b/>
            <sz val="9"/>
            <color indexed="81"/>
            <rFont val="Tahoma"/>
            <family val="2"/>
          </rPr>
          <t>user:</t>
        </r>
        <r>
          <rPr>
            <sz val="9"/>
            <color indexed="81"/>
            <rFont val="Tahoma"/>
            <family val="2"/>
          </rPr>
          <t xml:space="preserve">
SIMANIS</t>
        </r>
      </text>
    </comment>
    <comment ref="K38" authorId="0" shapeId="0">
      <text>
        <r>
          <rPr>
            <b/>
            <sz val="9"/>
            <color indexed="81"/>
            <rFont val="Tahoma"/>
            <family val="2"/>
          </rPr>
          <t>user:</t>
        </r>
        <r>
          <rPr>
            <sz val="9"/>
            <color indexed="81"/>
            <rFont val="Tahoma"/>
            <family val="2"/>
          </rPr>
          <t xml:space="preserve">
Simpanan Joglo
Simpanan genthong
simpanan onthel
simpanan pensil
simpanan sinar
simpanan produktif
Simpanan Joglo
</t>
        </r>
      </text>
    </comment>
    <comment ref="L38" authorId="0" shapeId="0">
      <text>
        <r>
          <rPr>
            <b/>
            <sz val="9"/>
            <color indexed="81"/>
            <rFont val="Tahoma"/>
            <family val="2"/>
          </rPr>
          <t>user:</t>
        </r>
        <r>
          <rPr>
            <sz val="9"/>
            <color indexed="81"/>
            <rFont val="Tahoma"/>
            <family val="2"/>
          </rPr>
          <t xml:space="preserve">
ada piutang selain ke bkcuk</t>
        </r>
      </text>
    </comment>
    <comment ref="M38" authorId="0" shapeId="0">
      <text>
        <r>
          <rPr>
            <b/>
            <sz val="9"/>
            <color indexed="81"/>
            <rFont val="Tahoma"/>
            <family val="2"/>
          </rPr>
          <t>user:</t>
        </r>
        <r>
          <rPr>
            <sz val="9"/>
            <color indexed="81"/>
            <rFont val="Tahoma"/>
            <family val="2"/>
          </rPr>
          <t xml:space="preserve">
PRODUKTIF 
 SERBA-SERBI 
 JOGLO 
 ONTHEL 
 PENSIL 
 WINEH 
</t>
        </r>
      </text>
    </comment>
    <comment ref="J39" authorId="0" shapeId="0">
      <text>
        <r>
          <rPr>
            <b/>
            <sz val="9"/>
            <color indexed="81"/>
            <rFont val="Tahoma"/>
            <family val="2"/>
          </rPr>
          <t>user:</t>
        </r>
        <r>
          <rPr>
            <sz val="9"/>
            <color indexed="81"/>
            <rFont val="Tahoma"/>
            <family val="2"/>
          </rPr>
          <t xml:space="preserve">
SIMAPAN</t>
        </r>
      </text>
    </comment>
    <comment ref="K39" authorId="0" shapeId="0">
      <text>
        <r>
          <rPr>
            <b/>
            <sz val="9"/>
            <color indexed="81"/>
            <rFont val="Tahoma"/>
            <family val="2"/>
          </rPr>
          <t>user:</t>
        </r>
        <r>
          <rPr>
            <sz val="9"/>
            <color indexed="81"/>
            <rFont val="Tahoma"/>
            <family val="2"/>
          </rPr>
          <t xml:space="preserve">
Tabungan Taken
Tabungan Sekoci
Tabungan Sijaka
Tabungan Tulus
Tabungan Tawa
Tabungan Cincin
Tabungan UKM
Tabungan Sidara
Tabungan Betang
Tabungan Setia
</t>
        </r>
      </text>
    </comment>
    <comment ref="M39" authorId="0" shapeId="0">
      <text>
        <r>
          <rPr>
            <b/>
            <sz val="9"/>
            <color indexed="81"/>
            <rFont val="Tahoma"/>
            <family val="2"/>
          </rPr>
          <t>user:</t>
        </r>
        <r>
          <rPr>
            <sz val="9"/>
            <color indexed="81"/>
            <rFont val="Tahoma"/>
            <family val="2"/>
          </rPr>
          <t xml:space="preserve">
Piutang Anggota Simapan
Piutang Anggota Mikro
Piutang Anggota Ukm
Piutang Anggota Betang
Piutang Anggota Sidara
Piutang Anggota Tawa
Piutang Anggota Umum
</t>
        </r>
      </text>
    </comment>
    <comment ref="J40" authorId="0" shapeId="0">
      <text>
        <r>
          <rPr>
            <b/>
            <sz val="9"/>
            <color indexed="81"/>
            <rFont val="Tahoma"/>
            <family val="2"/>
          </rPr>
          <t>user:</t>
        </r>
        <r>
          <rPr>
            <sz val="9"/>
            <color indexed="81"/>
            <rFont val="Tahoma"/>
            <family val="2"/>
          </rPr>
          <t xml:space="preserve">
TABERNAKEL</t>
        </r>
      </text>
    </comment>
    <comment ref="K40" authorId="0" shapeId="0">
      <text>
        <r>
          <rPr>
            <b/>
            <sz val="9"/>
            <color indexed="81"/>
            <rFont val="Tahoma"/>
            <family val="2"/>
          </rPr>
          <t>user:</t>
        </r>
        <r>
          <rPr>
            <sz val="9"/>
            <color indexed="81"/>
            <rFont val="Tahoma"/>
            <family val="2"/>
          </rPr>
          <t xml:space="preserve">
Talenta
Simpanan Stella Gerak 2
Simpanan Stella Gerak 4
Simpanan Stella Teduh
Kapel
Tarinak
</t>
        </r>
      </text>
    </comment>
    <comment ref="M40" authorId="0" shapeId="0">
      <text>
        <r>
          <rPr>
            <b/>
            <sz val="9"/>
            <color indexed="81"/>
            <rFont val="Tahoma"/>
            <family val="2"/>
          </rPr>
          <t>user:</t>
        </r>
        <r>
          <rPr>
            <sz val="9"/>
            <color indexed="81"/>
            <rFont val="Tahoma"/>
            <family val="2"/>
          </rPr>
          <t xml:space="preserve">
Piutang Pinjam Simpanan
Piutang Mikro
Piutang Produktif
Piutang Stella Teduh
Piutang Stella Gerak 2
Piutang Stella Gerak 4
Piutang Stella Tani
Piutang Pendidikan
Piutang Darurat
Piutang Umum
Piutang Kesejahteraan
</t>
        </r>
      </text>
    </comment>
    <comment ref="J41" authorId="0" shapeId="0">
      <text>
        <r>
          <rPr>
            <b/>
            <sz val="9"/>
            <color indexed="81"/>
            <rFont val="Tahoma"/>
            <family val="2"/>
          </rPr>
          <t>user:</t>
        </r>
        <r>
          <rPr>
            <sz val="9"/>
            <color indexed="81"/>
            <rFont val="Tahoma"/>
            <family val="2"/>
          </rPr>
          <t xml:space="preserve">
CUPUMAS</t>
        </r>
      </text>
    </comment>
    <comment ref="L41" authorId="0" shapeId="0">
      <text>
        <r>
          <rPr>
            <b/>
            <sz val="9"/>
            <color indexed="81"/>
            <rFont val="Tahoma"/>
            <family val="2"/>
          </rPr>
          <t>user:</t>
        </r>
        <r>
          <rPr>
            <sz val="9"/>
            <color indexed="81"/>
            <rFont val="Tahoma"/>
            <family val="2"/>
          </rPr>
          <t xml:space="preserve">
Hut SPD &amp; PANTAS</t>
        </r>
      </text>
    </comment>
    <comment ref="M41" authorId="0" shapeId="0">
      <text>
        <r>
          <rPr>
            <b/>
            <sz val="9"/>
            <color indexed="81"/>
            <rFont val="Tahoma"/>
            <family val="2"/>
          </rPr>
          <t>user:</t>
        </r>
        <r>
          <rPr>
            <sz val="9"/>
            <color indexed="81"/>
            <rFont val="Tahoma"/>
            <family val="2"/>
          </rPr>
          <t xml:space="preserve">
PIUTANG  ANGGOTA
PIUTANG AGRO &amp; TABEK
masih ada piutang non agt (hya tdk dimasukan dlm piutang beredar)</t>
        </r>
      </text>
    </comment>
    <comment ref="J42" authorId="0" shapeId="0">
      <text>
        <r>
          <rPr>
            <b/>
            <sz val="9"/>
            <color indexed="81"/>
            <rFont val="Tahoma"/>
            <family val="2"/>
          </rPr>
          <t>user:</t>
        </r>
        <r>
          <rPr>
            <sz val="9"/>
            <color indexed="81"/>
            <rFont val="Tahoma"/>
            <family val="2"/>
          </rPr>
          <t xml:space="preserve">
SIGAYU</t>
        </r>
      </text>
    </comment>
    <comment ref="K42" authorId="0" shapeId="0">
      <text>
        <r>
          <rPr>
            <b/>
            <sz val="9"/>
            <color indexed="81"/>
            <rFont val="Tahoma"/>
            <family val="2"/>
          </rPr>
          <t>user:</t>
        </r>
        <r>
          <rPr>
            <sz val="9"/>
            <color indexed="81"/>
            <rFont val="Tahoma"/>
            <family val="2"/>
          </rPr>
          <t xml:space="preserve">
Simpanan Sburan
Simpanan Simpel
Simpanan Sakti
Simpanan Pendidikan
Simpanan Perumahan
Simpanan Kendaraan
Simpanan Merayeh
Simpanan Temawang
Simpanan Sibujang
Simpanan Tapend
Simpanan Masa Depan
Sepadan
Sekawan
</t>
        </r>
      </text>
    </comment>
    <comment ref="M42" authorId="0" shapeId="0">
      <text>
        <r>
          <rPr>
            <b/>
            <sz val="9"/>
            <color indexed="81"/>
            <rFont val="Tahoma"/>
            <family val="2"/>
          </rPr>
          <t>user:</t>
        </r>
        <r>
          <rPr>
            <sz val="9"/>
            <color indexed="81"/>
            <rFont val="Tahoma"/>
            <family val="2"/>
          </rPr>
          <t xml:space="preserve">
Pinjaman Saham
Pinjaman Sakti
Pinjaman Pendidikan
Pinjaman Perumahan
Pinjaman Kendaraan
Pinjaman Merayeh
Pinjaman Temawang
Pinjaman Sepadan
Pinjaman Sekawan
Pinjaman Lain-Lain
</t>
        </r>
      </text>
    </comment>
    <comment ref="H43" authorId="0" shapeId="0">
      <text>
        <r>
          <rPr>
            <b/>
            <sz val="9"/>
            <color indexed="81"/>
            <rFont val="Tahoma"/>
            <family val="2"/>
          </rPr>
          <t>user:</t>
        </r>
        <r>
          <rPr>
            <sz val="9"/>
            <color indexed="81"/>
            <rFont val="Tahoma"/>
            <family val="2"/>
          </rPr>
          <t xml:space="preserve">
Kas
B A N K
S I K O D I T
S I K L U S
Piutang Anggota 
</t>
        </r>
      </text>
    </comment>
    <comment ref="J43" authorId="0" shapeId="0">
      <text>
        <r>
          <rPr>
            <b/>
            <sz val="9"/>
            <color indexed="81"/>
            <rFont val="Tahoma"/>
            <family val="2"/>
          </rPr>
          <t>user:</t>
        </r>
        <r>
          <rPr>
            <sz val="9"/>
            <color indexed="81"/>
            <rFont val="Tahoma"/>
            <family val="2"/>
          </rPr>
          <t xml:space="preserve">
SIHARTA Anggota</t>
        </r>
      </text>
    </comment>
    <comment ref="K43" authorId="0" shapeId="0">
      <text>
        <r>
          <rPr>
            <b/>
            <sz val="9"/>
            <color indexed="81"/>
            <rFont val="Tahoma"/>
            <family val="2"/>
          </rPr>
          <t>user:</t>
        </r>
        <r>
          <rPr>
            <sz val="9"/>
            <color indexed="81"/>
            <rFont val="Tahoma"/>
            <family val="2"/>
          </rPr>
          <t xml:space="preserve">
SINTA
SIHARTA Anggota
SIMHAR Anggota
SIDIK Anggota
SINTA
</t>
        </r>
      </text>
    </comment>
    <comment ref="H44" authorId="0" shapeId="0">
      <text>
        <r>
          <rPr>
            <b/>
            <sz val="9"/>
            <color indexed="81"/>
            <rFont val="Tahoma"/>
            <family val="2"/>
          </rPr>
          <t>user:</t>
        </r>
        <r>
          <rPr>
            <sz val="9"/>
            <color indexed="81"/>
            <rFont val="Tahoma"/>
            <family val="2"/>
          </rPr>
          <t xml:space="preserve">
CU Keliru /piutang agt tdk dimasukan dlm aset lancar</t>
        </r>
      </text>
    </comment>
    <comment ref="J44" authorId="0" shapeId="0">
      <text>
        <r>
          <rPr>
            <b/>
            <sz val="9"/>
            <color indexed="81"/>
            <rFont val="Tahoma"/>
            <family val="2"/>
          </rPr>
          <t>user:</t>
        </r>
        <r>
          <rPr>
            <sz val="9"/>
            <color indexed="81"/>
            <rFont val="Tahoma"/>
            <family val="2"/>
          </rPr>
          <t xml:space="preserve">
SITILUNG</t>
        </r>
      </text>
    </comment>
    <comment ref="K44" authorId="0" shapeId="0">
      <text>
        <r>
          <rPr>
            <b/>
            <sz val="9"/>
            <color indexed="81"/>
            <rFont val="Tahoma"/>
            <family val="2"/>
          </rPr>
          <t>user:</t>
        </r>
        <r>
          <rPr>
            <sz val="9"/>
            <color indexed="81"/>
            <rFont val="Tahoma"/>
            <family val="2"/>
          </rPr>
          <t xml:space="preserve">
Sintong
Sipajar
Simpatik
Simpro
Sitaruna
Simparaan
</t>
        </r>
      </text>
    </comment>
    <comment ref="M44" authorId="0" shapeId="0">
      <text>
        <r>
          <rPr>
            <b/>
            <sz val="9"/>
            <color indexed="81"/>
            <rFont val="Tahoma"/>
            <family val="2"/>
          </rPr>
          <t>user:</t>
        </r>
        <r>
          <rPr>
            <sz val="9"/>
            <color indexed="81"/>
            <rFont val="Tahoma"/>
            <family val="2"/>
          </rPr>
          <t xml:space="preserve">
Produktif
Konsumtif
Darurat
Piutang Simpanan
</t>
        </r>
      </text>
    </comment>
    <comment ref="J45" authorId="0" shapeId="0">
      <text>
        <r>
          <rPr>
            <b/>
            <sz val="9"/>
            <color indexed="81"/>
            <rFont val="Tahoma"/>
            <family val="2"/>
          </rPr>
          <t>user:</t>
        </r>
        <r>
          <rPr>
            <sz val="9"/>
            <color indexed="81"/>
            <rFont val="Tahoma"/>
            <family val="2"/>
          </rPr>
          <t xml:space="preserve">
SI-EMAS</t>
        </r>
      </text>
    </comment>
    <comment ref="K45" authorId="0" shapeId="0">
      <text>
        <r>
          <rPr>
            <b/>
            <sz val="9"/>
            <color indexed="81"/>
            <rFont val="Tahoma"/>
            <family val="2"/>
          </rPr>
          <t>user:</t>
        </r>
        <r>
          <rPr>
            <sz val="9"/>
            <color indexed="81"/>
            <rFont val="Tahoma"/>
            <family val="2"/>
          </rPr>
          <t xml:space="preserve">
Sampan
Tahar
Tas
Tabirqu
</t>
        </r>
      </text>
    </comment>
    <comment ref="M45" authorId="0" shapeId="0">
      <text>
        <r>
          <rPr>
            <b/>
            <sz val="9"/>
            <color indexed="81"/>
            <rFont val="Tahoma"/>
            <family val="2"/>
          </rPr>
          <t>user:</t>
        </r>
        <r>
          <rPr>
            <sz val="9"/>
            <color indexed="81"/>
            <rFont val="Tahoma"/>
            <family val="2"/>
          </rPr>
          <t xml:space="preserve">
1. Piutang Umum
2. Piutang Menambah Simpanan
3. Piutang Mikro
4. Penyisihan Piutang Tak Tertagih
</t>
        </r>
      </text>
    </comment>
    <comment ref="J46" authorId="0" shapeId="0">
      <text>
        <r>
          <rPr>
            <b/>
            <sz val="9"/>
            <color indexed="81"/>
            <rFont val="Tahoma"/>
            <family val="2"/>
          </rPr>
          <t>user:</t>
        </r>
        <r>
          <rPr>
            <sz val="9"/>
            <color indexed="81"/>
            <rFont val="Tahoma"/>
            <family val="2"/>
          </rPr>
          <t xml:space="preserve">
SAPALA</t>
        </r>
      </text>
    </comment>
    <comment ref="K46" authorId="0" shapeId="0">
      <text>
        <r>
          <rPr>
            <b/>
            <sz val="9"/>
            <color indexed="81"/>
            <rFont val="Tahoma"/>
            <family val="2"/>
          </rPr>
          <t>user:</t>
        </r>
        <r>
          <rPr>
            <sz val="9"/>
            <color indexed="81"/>
            <rFont val="Tahoma"/>
            <family val="2"/>
          </rPr>
          <t xml:space="preserve">
Pahar
Batuah
Siraya
Bahata
</t>
        </r>
      </text>
    </comment>
    <comment ref="J47" authorId="0" shapeId="0">
      <text>
        <r>
          <rPr>
            <b/>
            <sz val="9"/>
            <color indexed="81"/>
            <rFont val="Tahoma"/>
            <family val="2"/>
          </rPr>
          <t>user:</t>
        </r>
        <r>
          <rPr>
            <sz val="9"/>
            <color indexed="81"/>
            <rFont val="Tahoma"/>
            <family val="2"/>
          </rPr>
          <t xml:space="preserve">
Teroket</t>
        </r>
      </text>
    </comment>
    <comment ref="K47" authorId="0" shapeId="0">
      <text>
        <r>
          <rPr>
            <b/>
            <sz val="9"/>
            <color indexed="81"/>
            <rFont val="Tahoma"/>
            <family val="2"/>
          </rPr>
          <t>user:</t>
        </r>
        <r>
          <rPr>
            <sz val="9"/>
            <color indexed="81"/>
            <rFont val="Tahoma"/>
            <family val="2"/>
          </rPr>
          <t xml:space="preserve">
Simpanan Mongkao
Simpanan The Pooh
Simpanan Juwah
Simpanan Tonuk
Simpanan Ndoae
Simpanan Tungkat
Simpanan Orut
Simpanan Roming
</t>
        </r>
      </text>
    </comment>
    <comment ref="M47" authorId="0" shapeId="0">
      <text>
        <r>
          <rPr>
            <b/>
            <sz val="9"/>
            <color indexed="81"/>
            <rFont val="Tahoma"/>
            <family val="2"/>
          </rPr>
          <t>user:</t>
        </r>
        <r>
          <rPr>
            <sz val="9"/>
            <color indexed="81"/>
            <rFont val="Tahoma"/>
            <family val="2"/>
          </rPr>
          <t xml:space="preserve">
Piutang Menambah Simpanan Terroket
Piutang Produktif
Piutang Serba-serbi
Piutang Orut
Piutang Roming
Piutang Khusus/Cepat
Piutang Pengelola
</t>
        </r>
      </text>
    </comment>
    <comment ref="J48" authorId="0" shapeId="0">
      <text>
        <r>
          <rPr>
            <b/>
            <sz val="9"/>
            <color indexed="81"/>
            <rFont val="Tahoma"/>
            <family val="2"/>
          </rPr>
          <t>user:</t>
        </r>
        <r>
          <rPr>
            <sz val="9"/>
            <color indexed="81"/>
            <rFont val="Tahoma"/>
            <family val="2"/>
          </rPr>
          <t xml:space="preserve">
Megapolitan</t>
        </r>
      </text>
    </comment>
    <comment ref="K48" authorId="0" shapeId="0">
      <text>
        <r>
          <rPr>
            <b/>
            <sz val="9"/>
            <color indexed="81"/>
            <rFont val="Tahoma"/>
            <family val="2"/>
          </rPr>
          <t>user:</t>
        </r>
        <r>
          <rPr>
            <sz val="9"/>
            <color indexed="81"/>
            <rFont val="Tahoma"/>
            <family val="2"/>
          </rPr>
          <t xml:space="preserve">
Simpanan Pagan
Simpanan Pundi Gratia
Simpanan Multiguna
Simpanan Pendidikan
</t>
        </r>
      </text>
    </comment>
    <comment ref="M48" authorId="0" shapeId="0">
      <text>
        <r>
          <rPr>
            <b/>
            <sz val="9"/>
            <color indexed="81"/>
            <rFont val="Tahoma"/>
            <family val="2"/>
          </rPr>
          <t>user:</t>
        </r>
        <r>
          <rPr>
            <sz val="9"/>
            <color indexed="81"/>
            <rFont val="Tahoma"/>
            <family val="2"/>
          </rPr>
          <t xml:space="preserve">
Piutang Menambah Simpanan
Piutang Keperluan Rumah Tanga
Piutang Produktif
Piutang Modal Kerja
Piutang Sepeda Motor
Piutang Rumah
Piutang Pendidikan
Piutang Kavling Tanah
</t>
        </r>
      </text>
    </comment>
    <comment ref="J49" authorId="0" shapeId="0">
      <text>
        <r>
          <rPr>
            <b/>
            <sz val="9"/>
            <color indexed="81"/>
            <rFont val="Tahoma"/>
            <family val="2"/>
          </rPr>
          <t>user:</t>
        </r>
        <r>
          <rPr>
            <sz val="9"/>
            <color indexed="81"/>
            <rFont val="Tahoma"/>
            <family val="2"/>
          </rPr>
          <t xml:space="preserve">
siwaris</t>
        </r>
      </text>
    </comment>
    <comment ref="K49" authorId="0" shapeId="0">
      <text>
        <r>
          <rPr>
            <b/>
            <sz val="9"/>
            <color indexed="81"/>
            <rFont val="Tahoma"/>
            <family val="2"/>
          </rPr>
          <t>user:</t>
        </r>
        <r>
          <rPr>
            <sz val="9"/>
            <color indexed="81"/>
            <rFont val="Tahoma"/>
            <family val="2"/>
          </rPr>
          <t xml:space="preserve">
Sikendhi 
 Simpanan Pendidikan 
 Simpanan Ibadah 
 Simpanan Properti 
 Sigap (Darurat) 
</t>
        </r>
      </text>
    </comment>
    <comment ref="M49" authorId="0" shapeId="0">
      <text>
        <r>
          <rPr>
            <b/>
            <sz val="9"/>
            <color indexed="81"/>
            <rFont val="Tahoma"/>
            <family val="2"/>
          </rPr>
          <t>user:</t>
        </r>
        <r>
          <rPr>
            <sz val="9"/>
            <color indexed="81"/>
            <rFont val="Tahoma"/>
            <family val="2"/>
          </rPr>
          <t xml:space="preserve">
Kapitalisasi 
 Khusus 
 Pendidikan 
 Kendaraan 
 Properti 
 Perkawinan / Hajatan 
 Kesehatan 
 Usaha Produktif 
 Umum / Serba-serbi 
 Mikro 
 Penysihan Piutang Tak Tertagih 
</t>
        </r>
      </text>
    </comment>
    <comment ref="J50" authorId="0" shapeId="0">
      <text>
        <r>
          <rPr>
            <b/>
            <sz val="9"/>
            <color indexed="81"/>
            <rFont val="Tahoma"/>
            <family val="2"/>
          </rPr>
          <t>user:</t>
        </r>
        <r>
          <rPr>
            <sz val="9"/>
            <color indexed="81"/>
            <rFont val="Tahoma"/>
            <family val="2"/>
          </rPr>
          <t xml:space="preserve">
Tampan</t>
        </r>
      </text>
    </comment>
    <comment ref="K50" authorId="0" shapeId="0">
      <text>
        <r>
          <rPr>
            <b/>
            <sz val="9"/>
            <color indexed="81"/>
            <rFont val="Tahoma"/>
            <family val="2"/>
          </rPr>
          <t>user:</t>
        </r>
        <r>
          <rPr>
            <sz val="9"/>
            <color indexed="81"/>
            <rFont val="Tahoma"/>
            <family val="2"/>
          </rPr>
          <t xml:space="preserve">
    Tumbuh
Simpanan Perumahan
Simpanan Kendaraan
Simpanan Pendidikan
SBPLK
</t>
        </r>
      </text>
    </comment>
    <comment ref="M50" authorId="0" shapeId="0">
      <text>
        <r>
          <rPr>
            <b/>
            <sz val="9"/>
            <color indexed="81"/>
            <rFont val="Tahoma"/>
            <family val="2"/>
          </rPr>
          <t>user:</t>
        </r>
        <r>
          <rPr>
            <sz val="9"/>
            <color indexed="81"/>
            <rFont val="Tahoma"/>
            <family val="2"/>
          </rPr>
          <t xml:space="preserve">
Pinjaman Kredit Simpanan
Pinjaman Jangka Pendek
Pinjaman Jangka Panjang
Pinjaman Sebrakan
Pinjaman Perumahan
Pinjaman Kendaraan
Pinjaman Elektronik
Pinjaman Modal Usaha
Pinjaman Lembaga
Pinjaman Khusus Take Over
Pinjaman Khusus Pensiun
Pinjaman Pendidikan 
Piutang Ragu-ragu
</t>
        </r>
      </text>
    </comment>
    <comment ref="J51" authorId="0" shapeId="0">
      <text>
        <r>
          <rPr>
            <b/>
            <sz val="9"/>
            <color indexed="81"/>
            <rFont val="Tahoma"/>
            <family val="2"/>
          </rPr>
          <t>user:</t>
        </r>
        <r>
          <rPr>
            <sz val="9"/>
            <color indexed="81"/>
            <rFont val="Tahoma"/>
            <family val="2"/>
          </rPr>
          <t xml:space="preserve">
THO HIW MK</t>
        </r>
      </text>
    </comment>
    <comment ref="K51" authorId="0" shapeId="0">
      <text>
        <r>
          <rPr>
            <b/>
            <sz val="9"/>
            <color indexed="81"/>
            <rFont val="Tahoma"/>
            <family val="2"/>
          </rPr>
          <t>user:</t>
        </r>
        <r>
          <rPr>
            <sz val="9"/>
            <color indexed="81"/>
            <rFont val="Tahoma"/>
            <family val="2"/>
          </rPr>
          <t xml:space="preserve">
OTO MK
GRIYA MK
PELITA MK
</t>
        </r>
      </text>
    </comment>
    <comment ref="M51" authorId="0" shapeId="0">
      <text>
        <r>
          <rPr>
            <b/>
            <sz val="9"/>
            <color indexed="81"/>
            <rFont val="Tahoma"/>
            <family val="2"/>
          </rPr>
          <t>user:</t>
        </r>
        <r>
          <rPr>
            <sz val="9"/>
            <color indexed="81"/>
            <rFont val="Tahoma"/>
            <family val="2"/>
          </rPr>
          <t xml:space="preserve">
Pinjaman Menambah Simpanan
Pinjaman Cepat
Pinjaman Serba Serbi
Pinjaman Mikro
Pinjaman OTO MK
Pinjaman GRIYA MK
Pinjaman PELITA MK
</t>
        </r>
      </text>
    </comment>
    <comment ref="J52" authorId="0" shapeId="0">
      <text>
        <r>
          <rPr>
            <b/>
            <sz val="9"/>
            <color indexed="81"/>
            <rFont val="Tahoma"/>
            <family val="2"/>
          </rPr>
          <t>user:</t>
        </r>
        <r>
          <rPr>
            <sz val="9"/>
            <color indexed="81"/>
            <rFont val="Tahoma"/>
            <family val="2"/>
          </rPr>
          <t xml:space="preserve">
semai</t>
        </r>
      </text>
    </comment>
    <comment ref="K52" authorId="0" shapeId="0">
      <text>
        <r>
          <rPr>
            <b/>
            <sz val="9"/>
            <color indexed="81"/>
            <rFont val="Tahoma"/>
            <family val="2"/>
          </rPr>
          <t>user:</t>
        </r>
        <r>
          <rPr>
            <sz val="9"/>
            <color indexed="81"/>
            <rFont val="Tahoma"/>
            <family val="2"/>
          </rPr>
          <t xml:space="preserve">
Lumbung
Pandai Junior
Deposito CUMI
Ziarah
Pandai  
</t>
        </r>
      </text>
    </comment>
    <comment ref="M52" authorId="0" shapeId="0">
      <text>
        <r>
          <rPr>
            <b/>
            <sz val="9"/>
            <color indexed="81"/>
            <rFont val="Tahoma"/>
            <family val="2"/>
          </rPr>
          <t>user:</t>
        </r>
        <r>
          <rPr>
            <sz val="9"/>
            <color indexed="81"/>
            <rFont val="Tahoma"/>
            <family val="2"/>
          </rPr>
          <t xml:space="preserve">
Piutang Ikhtiar
Piutang Bestari
Piutang Benih
Piutang Perumahan
Piutang Aguna
Piutang Wahana
Piutang Bermasalah
</t>
        </r>
      </text>
    </comment>
    <comment ref="J53" authorId="0" shapeId="0">
      <text>
        <r>
          <rPr>
            <b/>
            <sz val="9"/>
            <color indexed="81"/>
            <rFont val="Tahoma"/>
            <family val="2"/>
          </rPr>
          <t>user:</t>
        </r>
        <r>
          <rPr>
            <sz val="9"/>
            <color indexed="81"/>
            <rFont val="Tahoma"/>
            <family val="2"/>
          </rPr>
          <t xml:space="preserve">
Simpanan Halasa</t>
        </r>
      </text>
    </comment>
    <comment ref="K53" authorId="0" shapeId="0">
      <text>
        <r>
          <rPr>
            <b/>
            <sz val="9"/>
            <color indexed="81"/>
            <rFont val="Tahoma"/>
            <family val="2"/>
          </rPr>
          <t>user:</t>
        </r>
        <r>
          <rPr>
            <sz val="9"/>
            <color indexed="81"/>
            <rFont val="Tahoma"/>
            <family val="2"/>
          </rPr>
          <t xml:space="preserve">
Simpanan Asoa
Simpanan Liwio
Simpanan Kendaraan Bermotor
</t>
        </r>
      </text>
    </comment>
    <comment ref="M53" authorId="0" shapeId="0">
      <text>
        <r>
          <rPr>
            <b/>
            <sz val="9"/>
            <color indexed="81"/>
            <rFont val="Tahoma"/>
            <family val="2"/>
          </rPr>
          <t>user:</t>
        </r>
        <r>
          <rPr>
            <sz val="9"/>
            <color indexed="81"/>
            <rFont val="Tahoma"/>
            <family val="2"/>
          </rPr>
          <t xml:space="preserve">
Piutang Modal Tabungan (PMT)
Piutang Usaha Produktif Umum
Piutang Produktif Khusus
Piutang Klp Binaan Peternak Babi
Piutang Konsumtif Umum
Piutang Kepemilikan Tanah Dan Rumah
Piutang Kendaraan Bermotor
Piutang Khusus Laptop
Piutang Ragu-ragu
</t>
        </r>
      </text>
    </comment>
    <comment ref="J54" authorId="0" shapeId="0">
      <text>
        <r>
          <rPr>
            <b/>
            <sz val="9"/>
            <color indexed="81"/>
            <rFont val="Tahoma"/>
            <family val="2"/>
          </rPr>
          <t>user:</t>
        </r>
        <r>
          <rPr>
            <sz val="9"/>
            <color indexed="81"/>
            <rFont val="Tahoma"/>
            <family val="2"/>
          </rPr>
          <t xml:space="preserve">
SIHARTA</t>
        </r>
      </text>
    </comment>
    <comment ref="K54" authorId="0" shapeId="0">
      <text>
        <r>
          <rPr>
            <b/>
            <sz val="9"/>
            <color indexed="81"/>
            <rFont val="Tahoma"/>
            <family val="2"/>
          </rPr>
          <t>user:</t>
        </r>
        <r>
          <rPr>
            <sz val="9"/>
            <color indexed="81"/>
            <rFont val="Tahoma"/>
            <family val="2"/>
          </rPr>
          <t xml:space="preserve">
SIBENDI 
 SIMPANAN GEMI NASTITI 
 SIMPANAN SAMEKTA 
</t>
        </r>
      </text>
    </comment>
    <comment ref="M54" authorId="0" shapeId="0">
      <text>
        <r>
          <rPr>
            <b/>
            <sz val="9"/>
            <color indexed="81"/>
            <rFont val="Tahoma"/>
            <family val="2"/>
          </rPr>
          <t>user:</t>
        </r>
        <r>
          <rPr>
            <sz val="9"/>
            <color indexed="81"/>
            <rFont val="Tahoma"/>
            <family val="2"/>
          </rPr>
          <t xml:space="preserve">
      Piutang Menambah Simpanan
      Piutang Produktif
      Piutang Umum
      Piutang Gemi Nastiti
      PIUTANG SEBRAKAN
      Penyisihan Piutang Tak Tertagih
</t>
        </r>
      </text>
    </comment>
    <comment ref="J55" authorId="0" shapeId="0">
      <text>
        <r>
          <rPr>
            <b/>
            <sz val="9"/>
            <color indexed="81"/>
            <rFont val="Tahoma"/>
            <family val="2"/>
          </rPr>
          <t>user:</t>
        </r>
        <r>
          <rPr>
            <sz val="9"/>
            <color indexed="81"/>
            <rFont val="Tahoma"/>
            <family val="2"/>
          </rPr>
          <t xml:space="preserve">
Sinata</t>
        </r>
      </text>
    </comment>
    <comment ref="K55" authorId="0" shapeId="0">
      <text>
        <r>
          <rPr>
            <b/>
            <sz val="9"/>
            <color indexed="81"/>
            <rFont val="Tahoma"/>
            <family val="2"/>
          </rPr>
          <t>user:</t>
        </r>
        <r>
          <rPr>
            <sz val="9"/>
            <color indexed="81"/>
            <rFont val="Tahoma"/>
            <family val="2"/>
          </rPr>
          <t xml:space="preserve">
Simpanan Siparan
Simpanan TAS
Simpanan Lamin DL
Simpanan Oto DL
Simpanan Wedding DL
Simpanan Happy DL
Simpanan SIWITA
Simpanan NGUYOQ
</t>
        </r>
      </text>
    </comment>
    <comment ref="M55" authorId="0" shapeId="0">
      <text>
        <r>
          <rPr>
            <b/>
            <sz val="9"/>
            <color indexed="81"/>
            <rFont val="Tahoma"/>
            <family val="2"/>
          </rPr>
          <t>user:</t>
        </r>
        <r>
          <rPr>
            <sz val="9"/>
            <color indexed="81"/>
            <rFont val="Tahoma"/>
            <family val="2"/>
          </rPr>
          <t xml:space="preserve">
   Piutang Umum
   Piutang Lamin DL
   Piutang Oto DL
   Piutang Wedding
</t>
        </r>
      </text>
    </comment>
    <comment ref="J56" authorId="0" shapeId="0">
      <text>
        <r>
          <rPr>
            <b/>
            <sz val="9"/>
            <color indexed="81"/>
            <rFont val="Tahoma"/>
            <family val="2"/>
          </rPr>
          <t>user:</t>
        </r>
        <r>
          <rPr>
            <sz val="9"/>
            <color indexed="81"/>
            <rFont val="Tahoma"/>
            <family val="2"/>
          </rPr>
          <t xml:space="preserve">
SINERA</t>
        </r>
      </text>
    </comment>
    <comment ref="K56" authorId="0" shapeId="0">
      <text>
        <r>
          <rPr>
            <b/>
            <sz val="9"/>
            <color indexed="81"/>
            <rFont val="Tahoma"/>
            <family val="2"/>
          </rPr>
          <t>user:</t>
        </r>
        <r>
          <rPr>
            <sz val="9"/>
            <color indexed="81"/>
            <rFont val="Tahoma"/>
            <family val="2"/>
          </rPr>
          <t xml:space="preserve">
3. SINERA
4. Pulung Bua
5. Simpanan Lepo
6. Simpanan Alud
7. Simpanan Tawek
Total Simpanan Padanan
8.   Sapuktau
9.   Sapuktau Sekula
10. SIP
</t>
        </r>
      </text>
    </comment>
    <comment ref="M56" authorId="0" shapeId="0">
      <text>
        <r>
          <rPr>
            <b/>
            <sz val="9"/>
            <color indexed="81"/>
            <rFont val="Tahoma"/>
            <family val="2"/>
          </rPr>
          <t>user:</t>
        </r>
        <r>
          <rPr>
            <sz val="9"/>
            <color indexed="81"/>
            <rFont val="Tahoma"/>
            <family val="2"/>
          </rPr>
          <t xml:space="preserve">
1. Tara/Kapitalisasi
2. Produktif/Usaha
3. Serba Serbi
4. Lepo/Rumah
5. Alud/Kendaraan
6. Tawek
7. Mikro
8. Khusus 
</t>
        </r>
      </text>
    </comment>
    <comment ref="J57" authorId="0" shapeId="0">
      <text>
        <r>
          <rPr>
            <b/>
            <sz val="9"/>
            <color indexed="81"/>
            <rFont val="Tahoma"/>
            <family val="2"/>
          </rPr>
          <t>user:</t>
        </r>
        <r>
          <rPr>
            <sz val="9"/>
            <color indexed="81"/>
            <rFont val="Tahoma"/>
            <family val="2"/>
          </rPr>
          <t xml:space="preserve">
Duit Turus</t>
        </r>
      </text>
    </comment>
    <comment ref="K57" authorId="0" shapeId="0">
      <text>
        <r>
          <rPr>
            <b/>
            <sz val="9"/>
            <color indexed="81"/>
            <rFont val="Tahoma"/>
            <family val="2"/>
          </rPr>
          <t>user:</t>
        </r>
        <r>
          <rPr>
            <sz val="9"/>
            <color indexed="81"/>
            <rFont val="Tahoma"/>
            <family val="2"/>
          </rPr>
          <t xml:space="preserve">
Manda Mandau
Balanga
Simpanan Anak Sekolah
Taharu
Tungkeh
Simpanan Wisata
Simpanan Huma
Simpanan Harati
</t>
        </r>
      </text>
    </comment>
    <comment ref="M57" authorId="0" shapeId="0">
      <text>
        <r>
          <rPr>
            <b/>
            <sz val="9"/>
            <color indexed="81"/>
            <rFont val="Tahoma"/>
            <family val="2"/>
          </rPr>
          <t>user:</t>
        </r>
        <r>
          <rPr>
            <sz val="9"/>
            <color indexed="81"/>
            <rFont val="Tahoma"/>
            <family val="2"/>
          </rPr>
          <t xml:space="preserve">
Kapitalisasi/Menambah Simpanan
Produktif/Tahasak
Konsumtif/Panatau
Perumahan/Huma
Proyek
Kendaraan/Lasang
Pendidikan/Harati
Pinjaman Usaha Kelompok
Pinjaman Mikro
</t>
        </r>
      </text>
    </comment>
    <comment ref="J58" authorId="0" shapeId="0">
      <text>
        <r>
          <rPr>
            <b/>
            <sz val="9"/>
            <color indexed="81"/>
            <rFont val="Tahoma"/>
            <family val="2"/>
          </rPr>
          <t>user:</t>
        </r>
        <r>
          <rPr>
            <sz val="9"/>
            <color indexed="81"/>
            <rFont val="Tahoma"/>
            <family val="2"/>
          </rPr>
          <t xml:space="preserve">
Kecubung Prima</t>
        </r>
      </text>
    </comment>
    <comment ref="K58" authorId="0" shapeId="0">
      <text>
        <r>
          <rPr>
            <b/>
            <sz val="9"/>
            <color indexed="81"/>
            <rFont val="Tahoma"/>
            <family val="2"/>
          </rPr>
          <t>user:</t>
        </r>
        <r>
          <rPr>
            <sz val="9"/>
            <color indexed="81"/>
            <rFont val="Tahoma"/>
            <family val="2"/>
          </rPr>
          <t xml:space="preserve">
Simpanan Jurung 
 Simpanan Saku 
 Simpanan Berjangka DETRA 
 Simpanan Hari Raya 
 Simpanan Pendidikan 
 Simpanan Perumahan 
 Simpanan Kendaraan Bermotor 
 Simpanan Pensiun Pengelola 
</t>
        </r>
      </text>
    </comment>
    <comment ref="M58" authorId="0" shapeId="0">
      <text>
        <r>
          <rPr>
            <b/>
            <sz val="9"/>
            <color indexed="81"/>
            <rFont val="Tahoma"/>
            <family val="2"/>
          </rPr>
          <t>user:</t>
        </r>
        <r>
          <rPr>
            <sz val="9"/>
            <color indexed="81"/>
            <rFont val="Tahoma"/>
            <family val="2"/>
          </rPr>
          <t xml:space="preserve">
Piutang Membangun Simpanan 
 Piutang Produktif 
 Piutang Konsumtif 
 Piutang Pendanaan Proyek 
 Piutang Kendaraan Bermotor 
 Piutang Kepemilikan Perumahan 
 Piutang Kepemilikan Tanah Kapling 
 Piutang Pendidikan 
 Piutang Pasca Panen 
 Piutang Pengelola 
 Penyisihan Piutang Tk Tertagih 
</t>
        </r>
      </text>
    </comment>
    <comment ref="J59" authorId="0" shapeId="0">
      <text>
        <r>
          <rPr>
            <b/>
            <sz val="9"/>
            <color indexed="81"/>
            <rFont val="Tahoma"/>
            <family val="2"/>
          </rPr>
          <t>user:</t>
        </r>
        <r>
          <rPr>
            <sz val="9"/>
            <color indexed="81"/>
            <rFont val="Tahoma"/>
            <family val="2"/>
          </rPr>
          <t xml:space="preserve">
SEDI</t>
        </r>
      </text>
    </comment>
    <comment ref="K59" authorId="0" shapeId="0">
      <text>
        <r>
          <rPr>
            <b/>
            <sz val="9"/>
            <color indexed="81"/>
            <rFont val="Tahoma"/>
            <family val="2"/>
          </rPr>
          <t>user:</t>
        </r>
        <r>
          <rPr>
            <sz val="9"/>
            <color indexed="81"/>
            <rFont val="Tahoma"/>
            <family val="2"/>
          </rPr>
          <t xml:space="preserve">
SIMBARAN
SIMUDA
SIHARA
PROPERTI
SOKANO
SEN JAJI
</t>
        </r>
      </text>
    </comment>
    <comment ref="M59" authorId="0" shapeId="0">
      <text>
        <r>
          <rPr>
            <b/>
            <sz val="9"/>
            <color indexed="81"/>
            <rFont val="Tahoma"/>
            <family val="2"/>
          </rPr>
          <t>user:</t>
        </r>
        <r>
          <rPr>
            <sz val="9"/>
            <color indexed="81"/>
            <rFont val="Tahoma"/>
            <family val="2"/>
          </rPr>
          <t xml:space="preserve">
1. Produktif
2. Konsumtif
3, Darurat
4, Progresif
5, Properti
</t>
        </r>
      </text>
    </comment>
    <comment ref="J60" authorId="0" shapeId="0">
      <text>
        <r>
          <rPr>
            <b/>
            <sz val="9"/>
            <color indexed="81"/>
            <rFont val="Tahoma"/>
            <family val="2"/>
          </rPr>
          <t>user:</t>
        </r>
        <r>
          <rPr>
            <sz val="9"/>
            <color indexed="81"/>
            <rFont val="Tahoma"/>
            <family val="2"/>
          </rPr>
          <t xml:space="preserve">
.Simpanan Talenta</t>
        </r>
      </text>
    </comment>
    <comment ref="K60" authorId="0" shapeId="0">
      <text>
        <r>
          <rPr>
            <b/>
            <sz val="9"/>
            <color indexed="81"/>
            <rFont val="Tahoma"/>
            <family val="2"/>
          </rPr>
          <t>user:</t>
        </r>
        <r>
          <rPr>
            <sz val="9"/>
            <color indexed="81"/>
            <rFont val="Tahoma"/>
            <family val="2"/>
          </rPr>
          <t xml:space="preserve">
Simpanan Kambut
Simpanan Simpanan Gantang
Simpanan Tapel
Simpanan Kambut
Simpanan Simpanan Gantang
Simpanan Tapel
Simapanan Pasah
Simpanan Tabken
Simpanan Paung
</t>
        </r>
      </text>
    </comment>
    <comment ref="M60" authorId="0" shapeId="0">
      <text>
        <r>
          <rPr>
            <b/>
            <sz val="9"/>
            <color indexed="81"/>
            <rFont val="Tahoma"/>
            <family val="2"/>
          </rPr>
          <t>user:</t>
        </r>
        <r>
          <rPr>
            <sz val="9"/>
            <color indexed="81"/>
            <rFont val="Tahoma"/>
            <family val="2"/>
          </rPr>
          <t xml:space="preserve">
   Piutang Menambah Modal
   Piutang Produktif
   Piutang Tameng
   Piutang Kendaraan
   Piutang Khusus
   Piutang Perumahan
   Piutang Pendidikan
   Piutang Nalisih
   Penyisihan Piutang Tak Tertagih
</t>
        </r>
      </text>
    </comment>
    <comment ref="J61" authorId="0" shapeId="0">
      <text>
        <r>
          <rPr>
            <b/>
            <sz val="9"/>
            <color indexed="81"/>
            <rFont val="Tahoma"/>
            <family val="2"/>
          </rPr>
          <t>user:</t>
        </r>
        <r>
          <rPr>
            <sz val="9"/>
            <color indexed="81"/>
            <rFont val="Tahoma"/>
            <family val="2"/>
          </rPr>
          <t xml:space="preserve">
SIDAYA</t>
        </r>
      </text>
    </comment>
    <comment ref="K61" authorId="0" shapeId="0">
      <text>
        <r>
          <rPr>
            <b/>
            <sz val="9"/>
            <color indexed="81"/>
            <rFont val="Tahoma"/>
            <family val="2"/>
          </rPr>
          <t>user:</t>
        </r>
        <r>
          <rPr>
            <sz val="9"/>
            <color indexed="81"/>
            <rFont val="Tahoma"/>
            <family val="2"/>
          </rPr>
          <t xml:space="preserve">
Simpanan Noken
Simpanan Sidaya
Simpanan Simantap
Simpanan Sindaran
Simpanan Pendidikan
Simpanan Hari Raya
</t>
        </r>
      </text>
    </comment>
    <comment ref="M61" authorId="0" shapeId="0">
      <text>
        <r>
          <rPr>
            <b/>
            <sz val="9"/>
            <color indexed="81"/>
            <rFont val="Tahoma"/>
            <family val="2"/>
          </rPr>
          <t>user:</t>
        </r>
        <r>
          <rPr>
            <sz val="9"/>
            <color indexed="81"/>
            <rFont val="Tahoma"/>
            <family val="2"/>
          </rPr>
          <t xml:space="preserve">
Piutang Menambah Simpanan
Piutang Usaha Menengah
Piutang Usaha Kecil
Piutang Pertanian, Peternakan, Perikanan
Piutang Konsumtif
Piutang Pendidikan
Piutang Kendaraan Bermotor
Piutang Tanah Pekarangan
</t>
        </r>
      </text>
    </comment>
    <comment ref="J62" authorId="0" shapeId="0">
      <text>
        <r>
          <rPr>
            <b/>
            <sz val="9"/>
            <color indexed="81"/>
            <rFont val="Tahoma"/>
            <family val="2"/>
          </rPr>
          <t>user:</t>
        </r>
        <r>
          <rPr>
            <sz val="9"/>
            <color indexed="81"/>
            <rFont val="Tahoma"/>
            <family val="2"/>
          </rPr>
          <t xml:space="preserve">
 Animha</t>
        </r>
      </text>
    </comment>
    <comment ref="K62" authorId="0" shapeId="0">
      <text>
        <r>
          <rPr>
            <b/>
            <sz val="9"/>
            <color indexed="81"/>
            <rFont val="Tahoma"/>
            <family val="2"/>
          </rPr>
          <t>user:</t>
        </r>
        <r>
          <rPr>
            <sz val="9"/>
            <color indexed="81"/>
            <rFont val="Tahoma"/>
            <family val="2"/>
          </rPr>
          <t xml:space="preserve">
Simpanan Jowotang
Simpanan IBA (Deposito)
Simpanan Hari Raya (SIHARA)
Simpanan Perumahan
Simpanan Pelajar
</t>
        </r>
      </text>
    </comment>
    <comment ref="M62" authorId="0" shapeId="0">
      <text>
        <r>
          <rPr>
            <b/>
            <sz val="9"/>
            <color indexed="81"/>
            <rFont val="Tahoma"/>
            <family val="2"/>
          </rPr>
          <t>user:</t>
        </r>
        <r>
          <rPr>
            <sz val="9"/>
            <color indexed="81"/>
            <rFont val="Tahoma"/>
            <family val="2"/>
          </rPr>
          <t xml:space="preserve">
Piutang Menambah Simpanan
Piutang Produktif
Piutang Konsumtif
Pinjaman Khusus Staf
</t>
        </r>
      </text>
    </comment>
    <comment ref="J63" authorId="0" shapeId="0">
      <text>
        <r>
          <rPr>
            <b/>
            <sz val="9"/>
            <color indexed="81"/>
            <rFont val="Tahoma"/>
            <family val="2"/>
          </rPr>
          <t>user:</t>
        </r>
        <r>
          <rPr>
            <sz val="9"/>
            <color indexed="81"/>
            <rFont val="Tahoma"/>
            <family val="2"/>
          </rPr>
          <t xml:space="preserve">
Wini Liin</t>
        </r>
      </text>
    </comment>
    <comment ref="K63" authorId="0" shapeId="0">
      <text>
        <r>
          <rPr>
            <b/>
            <sz val="9"/>
            <color indexed="81"/>
            <rFont val="Tahoma"/>
            <family val="2"/>
          </rPr>
          <t>user:</t>
        </r>
        <r>
          <rPr>
            <sz val="9"/>
            <color indexed="81"/>
            <rFont val="Tahoma"/>
            <family val="2"/>
          </rPr>
          <t xml:space="preserve">
Sidadin
Sipintar
Ronan
Sigita
Wini Li'in
CUMI
Deposito Lepo Woga
Deposito Bisa Ngaisiang
Deposito Jarang Jata
Simpanan Lepo Woga
Simpanan Bisa Ngaisiang
Simpanan Jarang Jata
</t>
        </r>
      </text>
    </comment>
    <comment ref="M63" authorId="0" shapeId="0">
      <text>
        <r>
          <rPr>
            <b/>
            <sz val="9"/>
            <color indexed="81"/>
            <rFont val="Tahoma"/>
            <family val="2"/>
          </rPr>
          <t>user:</t>
        </r>
        <r>
          <rPr>
            <sz val="9"/>
            <color indexed="81"/>
            <rFont val="Tahoma"/>
            <family val="2"/>
          </rPr>
          <t xml:space="preserve">
Piutang Tabung Kembali
Piutang Usaha Produktif
Piutang Kelompok Binaan
Piutang Kesejahteraan
Piutang Perumahan
Piutang Pendidikan
Piutang Kendaraan
Piutang Produktif Khusus
Piutang Khusus
</t>
        </r>
      </text>
    </comment>
    <comment ref="J64" authorId="0" shapeId="0">
      <text>
        <r>
          <rPr>
            <b/>
            <sz val="9"/>
            <color indexed="81"/>
            <rFont val="Tahoma"/>
            <family val="2"/>
          </rPr>
          <t>user:</t>
        </r>
        <r>
          <rPr>
            <sz val="9"/>
            <color indexed="81"/>
            <rFont val="Tahoma"/>
            <family val="2"/>
          </rPr>
          <t xml:space="preserve">
Simpanan Mana</t>
        </r>
      </text>
    </comment>
    <comment ref="K64" authorId="0" shapeId="0">
      <text>
        <r>
          <rPr>
            <b/>
            <sz val="9"/>
            <color indexed="81"/>
            <rFont val="Tahoma"/>
            <family val="2"/>
          </rPr>
          <t>user:</t>
        </r>
        <r>
          <rPr>
            <sz val="9"/>
            <color indexed="81"/>
            <rFont val="Tahoma"/>
            <family val="2"/>
          </rPr>
          <t xml:space="preserve">
Simpanan Pasallo 
 Simpanan Alangsura 
 Simpanan Pantanakan 
 Simpanan Pasakke 
 Simpanan Banua Sura 
 Simpanan Matangkin 
 Simpanan Kendaraan Bermotor 
 Simpanan Ziarah Rohani 
Simpanan Rannuan 
 Simpanan Dana Hari Tua Staf (DHTS) 
</t>
        </r>
      </text>
    </comment>
    <comment ref="M64" authorId="0" shapeId="0">
      <text>
        <r>
          <rPr>
            <b/>
            <sz val="9"/>
            <color indexed="81"/>
            <rFont val="Tahoma"/>
            <family val="2"/>
          </rPr>
          <t>user:</t>
        </r>
        <r>
          <rPr>
            <sz val="9"/>
            <color indexed="81"/>
            <rFont val="Tahoma"/>
            <family val="2"/>
          </rPr>
          <t xml:space="preserve">
Pinjaman Modal Tabungan (PMT)
Pinjaman Modal Tabungan Rannuan
Pinjaman Usaha Dagang
Pinjaman pertanian,Peternakan&amp;Perikanan
Pinjaman Usaha Jasa
Pinjaman Kepemilikan Tanah
Pinjaman Kepemilikan Rumah
Pinjaman Pendidikan
Pinjaman Kesehatan
Pinjaman Kendaraan Bermotor
Pinjaman Peralatan Rumah Tangga
Pinjaman Acara Adat
Pinjaman  Ziarah Rohani
Pinjaman kelompok Binaan
Pinjaman CUMI
Pinjaman Khusus
</t>
        </r>
      </text>
    </comment>
    <comment ref="J65" authorId="0" shapeId="0">
      <text>
        <r>
          <rPr>
            <b/>
            <sz val="9"/>
            <color indexed="81"/>
            <rFont val="Tahoma"/>
            <family val="2"/>
          </rPr>
          <t>user:</t>
        </r>
        <r>
          <rPr>
            <sz val="9"/>
            <color indexed="81"/>
            <rFont val="Tahoma"/>
            <family val="2"/>
          </rPr>
          <t xml:space="preserve">
Jagona</t>
        </r>
      </text>
    </comment>
    <comment ref="K65" authorId="0" shapeId="0">
      <text>
        <r>
          <rPr>
            <b/>
            <sz val="9"/>
            <color indexed="81"/>
            <rFont val="Tahoma"/>
            <family val="2"/>
          </rPr>
          <t>user:</t>
        </r>
        <r>
          <rPr>
            <sz val="9"/>
            <color indexed="81"/>
            <rFont val="Tahoma"/>
            <family val="2"/>
          </rPr>
          <t xml:space="preserve">
Simpanan Jagona 
 Simpanan Jagona Junior 
 Simpanan Singara 
 Simpanan Tapen 
 Simpanan Gammara 
 Simpanan Baruga 
 Simpanan Tulus 
 Simpanan Sidian 
 Simpanan Sipanda 
 Simpanan Sitor 
 Simpanan Berkah 
</t>
        </r>
      </text>
    </comment>
    <comment ref="M65" authorId="0" shapeId="0">
      <text>
        <r>
          <rPr>
            <b/>
            <sz val="9"/>
            <color indexed="81"/>
            <rFont val="Tahoma"/>
            <family val="2"/>
          </rPr>
          <t>user:</t>
        </r>
        <r>
          <rPr>
            <sz val="9"/>
            <color indexed="81"/>
            <rFont val="Tahoma"/>
            <family val="2"/>
          </rPr>
          <t xml:space="preserve">
Piutang Modal Tabungan 
 Piutang Usaha Menengah 
 Piutang Usaha Kecil 
 Piutang Kebutuahan Keluarga 
 Piutang Kepemilikan Kendaraan Bermotor 
 Piutang Kepemilikan Tanah &amp; Perumahan 
 Piutang Modal Tabungan Baruga 
 Piutang Pendidikan 
 Piutang Kelompok Binaan 
 Piutang Perkebunan dan Pertanian 
 Piutang Khusus Pengurus/Komite 
</t>
        </r>
      </text>
    </comment>
    <comment ref="J66" authorId="0" shapeId="0">
      <text>
        <r>
          <rPr>
            <b/>
            <sz val="9"/>
            <color indexed="81"/>
            <rFont val="Tahoma"/>
            <family val="2"/>
          </rPr>
          <t>user:</t>
        </r>
        <r>
          <rPr>
            <sz val="9"/>
            <color indexed="81"/>
            <rFont val="Tahoma"/>
            <family val="2"/>
          </rPr>
          <t xml:space="preserve">
Wini</t>
        </r>
      </text>
    </comment>
    <comment ref="K66" authorId="0" shapeId="0">
      <text>
        <r>
          <rPr>
            <b/>
            <sz val="9"/>
            <color indexed="81"/>
            <rFont val="Tahoma"/>
            <family val="2"/>
          </rPr>
          <t>user:</t>
        </r>
        <r>
          <rPr>
            <sz val="9"/>
            <color indexed="81"/>
            <rFont val="Tahoma"/>
            <family val="2"/>
          </rPr>
          <t xml:space="preserve">
Wonga A 
 Wonga B 
 Wea 
</t>
        </r>
      </text>
    </comment>
    <comment ref="M66" authorId="0" shapeId="0">
      <text>
        <r>
          <rPr>
            <b/>
            <sz val="9"/>
            <color indexed="81"/>
            <rFont val="Tahoma"/>
            <family val="2"/>
          </rPr>
          <t>user:</t>
        </r>
        <r>
          <rPr>
            <sz val="9"/>
            <color indexed="81"/>
            <rFont val="Tahoma"/>
            <family val="2"/>
          </rPr>
          <t xml:space="preserve">
Piutang Tabung Kembali
Piutang Tabung Kembali Sa'o
Piutang Tabung Kembali Tandak
Piutang Usaha Dagang
Piutang Pertanian
Piutang Peternakan
Piutang Usaha Bengkel
Piutang Rumah Kost
Piutang Kepemilikan Motor
Piutang Kepemilikan Mobil
Piutang Perabot Rumah Tangga
Piutang Elektronik
Piutang Renovasi Rumah
Piutang Kesehatan
Piutang Pesta
Piutang Kesejahteraan Lainnya
Piutang Kepemilikan Tanah
Piutang Kepemilikan Sa'o
Piutang Pendidikan Dasar dan Menengah
Piutang Pendidikan Tinggi
Piutang Kelompok Kerajinan Tangan
Piutang Kelompok Peternakan
Piutang Kelompok Pertanian
Piutang Produktif Khusus
Piutang Khusus Staf
Piutang Khusus Pengurus dan Pengawas
Penyisihan Piutang Tak Tertagih
</t>
        </r>
      </text>
    </comment>
    <comment ref="J67" authorId="0" shapeId="0">
      <text>
        <r>
          <rPr>
            <b/>
            <sz val="9"/>
            <color indexed="81"/>
            <rFont val="Tahoma"/>
            <family val="2"/>
          </rPr>
          <t>user:</t>
        </r>
        <r>
          <rPr>
            <sz val="9"/>
            <color indexed="81"/>
            <rFont val="Tahoma"/>
            <family val="2"/>
          </rPr>
          <t xml:space="preserve">
SISARON</t>
        </r>
      </text>
    </comment>
    <comment ref="K67" authorId="0" shapeId="0">
      <text>
        <r>
          <rPr>
            <b/>
            <sz val="9"/>
            <color indexed="81"/>
            <rFont val="Tahoma"/>
            <family val="2"/>
          </rPr>
          <t>user:</t>
        </r>
        <r>
          <rPr>
            <sz val="9"/>
            <color indexed="81"/>
            <rFont val="Tahoma"/>
            <family val="2"/>
          </rPr>
          <t xml:space="preserve">
Simpanan Perumahan
Simpanan Kendaraan
TANGKAS
SIHARA
TABUR
TABAH
</t>
        </r>
      </text>
    </comment>
    <comment ref="M67" authorId="0" shapeId="0">
      <text>
        <r>
          <rPr>
            <b/>
            <sz val="9"/>
            <color indexed="81"/>
            <rFont val="Tahoma"/>
            <family val="2"/>
          </rPr>
          <t>user:</t>
        </r>
        <r>
          <rPr>
            <sz val="9"/>
            <color indexed="81"/>
            <rFont val="Tahoma"/>
            <family val="2"/>
          </rPr>
          <t xml:space="preserve">
IMBAS
Piutang Perumahan
Piutang Kendaraan
Piutang Pendidikan
Piutang Produktif
Piutang Kesejahteraan
</t>
        </r>
      </text>
    </comment>
    <comment ref="J68" authorId="0" shapeId="0">
      <text>
        <r>
          <rPr>
            <b/>
            <sz val="9"/>
            <color indexed="81"/>
            <rFont val="Tahoma"/>
            <family val="2"/>
          </rPr>
          <t>user:</t>
        </r>
        <r>
          <rPr>
            <sz val="9"/>
            <color indexed="81"/>
            <rFont val="Tahoma"/>
            <family val="2"/>
          </rPr>
          <t xml:space="preserve">
FINI</t>
        </r>
      </text>
    </comment>
    <comment ref="K68" authorId="0" shapeId="0">
      <text>
        <r>
          <rPr>
            <b/>
            <sz val="9"/>
            <color indexed="81"/>
            <rFont val="Tahoma"/>
            <family val="2"/>
          </rPr>
          <t>user:</t>
        </r>
        <r>
          <rPr>
            <sz val="9"/>
            <color indexed="81"/>
            <rFont val="Tahoma"/>
            <family val="2"/>
          </rPr>
          <t xml:space="preserve">
SUFA, LOPO,Simpanan Pendidikan, Simpanan Perumahan,Simpanan Masa Sulit,Simpanan Uma Metan,Simpanan Mahinat Matenek,Simpanan Hari Tua Staf</t>
        </r>
      </text>
    </comment>
    <comment ref="M68" authorId="0" shapeId="0">
      <text>
        <r>
          <rPr>
            <b/>
            <sz val="9"/>
            <color indexed="81"/>
            <rFont val="Tahoma"/>
            <family val="2"/>
          </rPr>
          <t>user:</t>
        </r>
        <r>
          <rPr>
            <sz val="9"/>
            <color indexed="81"/>
            <rFont val="Tahoma"/>
            <family val="2"/>
          </rPr>
          <t xml:space="preserve">
Piutang PINTA
Piutang Produktif
Piutang Uma Kain
Piutang Kendaraan Bermotor
Piutang Kepemilikan Rumah
Piutang Komunitas Basis
Piutang Pendidikan
Piutang Uma Metan
</t>
        </r>
      </text>
    </comment>
    <comment ref="J69" authorId="0" shapeId="0">
      <text>
        <r>
          <rPr>
            <b/>
            <sz val="9"/>
            <color indexed="81"/>
            <rFont val="Tahoma"/>
            <family val="2"/>
          </rPr>
          <t>user:</t>
        </r>
        <r>
          <rPr>
            <sz val="9"/>
            <color indexed="81"/>
            <rFont val="Tahoma"/>
            <family val="2"/>
          </rPr>
          <t xml:space="preserve">
Prima Investa</t>
        </r>
      </text>
    </comment>
    <comment ref="K69" authorId="0" shapeId="0">
      <text>
        <r>
          <rPr>
            <b/>
            <sz val="9"/>
            <color indexed="81"/>
            <rFont val="Tahoma"/>
            <family val="2"/>
          </rPr>
          <t>user:</t>
        </r>
        <r>
          <rPr>
            <sz val="9"/>
            <color indexed="81"/>
            <rFont val="Tahoma"/>
            <family val="2"/>
          </rPr>
          <t xml:space="preserve">
Master
Prima Deposit
Bina
Cerdas
Bintang
Benteng
Bina Griya
</t>
        </r>
      </text>
    </comment>
    <comment ref="M69" authorId="0" shapeId="0">
      <text>
        <r>
          <rPr>
            <b/>
            <sz val="9"/>
            <color indexed="81"/>
            <rFont val="Tahoma"/>
            <family val="2"/>
          </rPr>
          <t>user:</t>
        </r>
        <r>
          <rPr>
            <sz val="9"/>
            <color indexed="81"/>
            <rFont val="Tahoma"/>
            <family val="2"/>
          </rPr>
          <t xml:space="preserve">
Pundi
Produktif
Kesejahteraan
Umum
Maturity
Kendaraan
Pendidikan
</t>
        </r>
      </text>
    </comment>
    <comment ref="J70" authorId="0" shapeId="0">
      <text>
        <r>
          <rPr>
            <b/>
            <sz val="9"/>
            <color indexed="81"/>
            <rFont val="Tahoma"/>
            <family val="2"/>
          </rPr>
          <t>user:</t>
        </r>
        <r>
          <rPr>
            <sz val="9"/>
            <color indexed="81"/>
            <rFont val="Tahoma"/>
            <family val="2"/>
          </rPr>
          <t xml:space="preserve">
DUSUN</t>
        </r>
      </text>
    </comment>
    <comment ref="K70" authorId="0" shapeId="0">
      <text>
        <r>
          <rPr>
            <b/>
            <sz val="9"/>
            <color indexed="81"/>
            <rFont val="Tahoma"/>
            <family val="2"/>
          </rPr>
          <t>user:</t>
        </r>
        <r>
          <rPr>
            <sz val="9"/>
            <color indexed="81"/>
            <rFont val="Tahoma"/>
            <family val="2"/>
          </rPr>
          <t xml:space="preserve">
Lenso 
 Sasi 
 Paparisa 
 Sero 
</t>
        </r>
      </text>
    </comment>
    <comment ref="M70" authorId="0" shapeId="0">
      <text>
        <r>
          <rPr>
            <b/>
            <sz val="9"/>
            <color indexed="81"/>
            <rFont val="Tahoma"/>
            <family val="2"/>
          </rPr>
          <t>user:</t>
        </r>
        <r>
          <rPr>
            <sz val="9"/>
            <color indexed="81"/>
            <rFont val="Tahoma"/>
            <family val="2"/>
          </rPr>
          <t xml:space="preserve">
Menambah Simpanan 
 Produktif 
 Konsumtif 
 Pendidikan 
 Kelompok Binaan 
 Khusus 
 Paparisa 
Penyisihan Piutang Tak Tertagih</t>
        </r>
      </text>
    </comment>
    <comment ref="J71" authorId="0" shapeId="0">
      <text>
        <r>
          <rPr>
            <b/>
            <sz val="9"/>
            <color indexed="81"/>
            <rFont val="Tahoma"/>
            <family val="2"/>
          </rPr>
          <t>user:</t>
        </r>
        <r>
          <rPr>
            <sz val="9"/>
            <color indexed="81"/>
            <rFont val="Tahoma"/>
            <family val="2"/>
          </rPr>
          <t xml:space="preserve">
SEHATI</t>
        </r>
      </text>
    </comment>
    <comment ref="K71" authorId="0" shapeId="0">
      <text>
        <r>
          <rPr>
            <b/>
            <sz val="9"/>
            <color indexed="81"/>
            <rFont val="Tahoma"/>
            <family val="2"/>
          </rPr>
          <t>user:</t>
        </r>
        <r>
          <rPr>
            <sz val="9"/>
            <color indexed="81"/>
            <rFont val="Tahoma"/>
            <family val="2"/>
          </rPr>
          <t xml:space="preserve">
Tari
Akurat
Tahara
Ijasah
Simpanan Sukarela Berjangka
Permata
</t>
        </r>
      </text>
    </comment>
    <comment ref="M71" authorId="0" shapeId="0">
      <text>
        <r>
          <rPr>
            <b/>
            <sz val="9"/>
            <color indexed="81"/>
            <rFont val="Tahoma"/>
            <family val="2"/>
          </rPr>
          <t>user:</t>
        </r>
        <r>
          <rPr>
            <sz val="9"/>
            <color indexed="81"/>
            <rFont val="Tahoma"/>
            <family val="2"/>
          </rPr>
          <t xml:space="preserve">
Piutang Kredit Simpan
Piutang Produktif Jangka Panjang
Piutang Produktif Jangka Pendek
Piutang Kesejahteraan
Piutang Pendidikan
Piutang Kepri
Piutang Khusus Staf
Piutang Khusus Pengurus
Piutang Khusus Pokti
Piutang Permata
Piutang Kelompok Binaan
</t>
        </r>
      </text>
    </comment>
    <comment ref="J72" authorId="0" shapeId="0">
      <text>
        <r>
          <rPr>
            <b/>
            <sz val="9"/>
            <color indexed="81"/>
            <rFont val="Tahoma"/>
            <family val="2"/>
          </rPr>
          <t>user:</t>
        </r>
        <r>
          <rPr>
            <sz val="9"/>
            <color indexed="81"/>
            <rFont val="Tahoma"/>
            <family val="2"/>
          </rPr>
          <t xml:space="preserve">
Simpanan Okop Ese</t>
        </r>
      </text>
    </comment>
    <comment ref="K72" authorId="0" shapeId="0">
      <text>
        <r>
          <rPr>
            <b/>
            <sz val="9"/>
            <color indexed="81"/>
            <rFont val="Tahoma"/>
            <family val="2"/>
          </rPr>
          <t>user:</t>
        </r>
        <r>
          <rPr>
            <sz val="9"/>
            <color indexed="81"/>
            <rFont val="Tahoma"/>
            <family val="2"/>
          </rPr>
          <t xml:space="preserve">
Simpanan Ese Ca - Darurat
Simpanan Acir - Harian
Simpanan Isi Cem - Perumahan
Simpanan An - Berjangka
Simpanan Tas - Pendidikan
Simpanan Acir - Calon Anggota
</t>
        </r>
      </text>
    </comment>
    <comment ref="M72" authorId="0" shapeId="0">
      <text>
        <r>
          <rPr>
            <b/>
            <sz val="9"/>
            <color indexed="81"/>
            <rFont val="Tahoma"/>
            <family val="2"/>
          </rPr>
          <t>user:</t>
        </r>
        <r>
          <rPr>
            <sz val="9"/>
            <color indexed="81"/>
            <rFont val="Tahoma"/>
            <family val="2"/>
          </rPr>
          <t xml:space="preserve">
Piutang Produktif
Piutang Umum
Piutang Khusus
Piutang Perumahan
Piutang Siloam Lembaga
Piutang Majus
Piutang Wi - Pensiun
Piutang Pemberdayaan
Piutang Karyawan &amp; Pengurus
Piutang Tetap Tertagih
Penyisihan Piutang Tak Tertagih
</t>
        </r>
      </text>
    </comment>
    <comment ref="J73" authorId="0" shapeId="0">
      <text>
        <r>
          <rPr>
            <b/>
            <sz val="9"/>
            <color indexed="81"/>
            <rFont val="Tahoma"/>
            <family val="2"/>
          </rPr>
          <t>user:</t>
        </r>
        <r>
          <rPr>
            <sz val="9"/>
            <color indexed="81"/>
            <rFont val="Tahoma"/>
            <family val="2"/>
          </rPr>
          <t xml:space="preserve">
Simpanan Winni</t>
        </r>
      </text>
    </comment>
    <comment ref="K73" authorId="0" shapeId="0">
      <text>
        <r>
          <rPr>
            <b/>
            <sz val="9"/>
            <color indexed="81"/>
            <rFont val="Tahoma"/>
            <family val="2"/>
          </rPr>
          <t>user:</t>
        </r>
        <r>
          <rPr>
            <sz val="9"/>
            <color indexed="81"/>
            <rFont val="Tahoma"/>
            <family val="2"/>
          </rPr>
          <t xml:space="preserve">
Ballang
Pendidikan/TAS
Perumahan 
Pensiun
Wolla
</t>
        </r>
      </text>
    </comment>
    <comment ref="M73" authorId="0" shapeId="0">
      <text>
        <r>
          <rPr>
            <b/>
            <sz val="9"/>
            <color indexed="81"/>
            <rFont val="Tahoma"/>
            <family val="2"/>
          </rPr>
          <t>user:</t>
        </r>
        <r>
          <rPr>
            <sz val="9"/>
            <color indexed="81"/>
            <rFont val="Tahoma"/>
            <family val="2"/>
          </rPr>
          <t xml:space="preserve">
1. Kapitalisasi
2. Pendidikan
3. Perumahan
4. Umum
5. Khusus
</t>
        </r>
      </text>
    </comment>
    <comment ref="J74" authorId="0" shapeId="0">
      <text>
        <r>
          <rPr>
            <b/>
            <sz val="9"/>
            <color indexed="81"/>
            <rFont val="Tahoma"/>
            <family val="2"/>
          </rPr>
          <t>user:</t>
        </r>
        <r>
          <rPr>
            <sz val="9"/>
            <color indexed="81"/>
            <rFont val="Tahoma"/>
            <family val="2"/>
          </rPr>
          <t xml:space="preserve">
Tampan</t>
        </r>
      </text>
    </comment>
    <comment ref="K74" authorId="0" shapeId="0">
      <text>
        <r>
          <rPr>
            <b/>
            <sz val="9"/>
            <color indexed="81"/>
            <rFont val="Tahoma"/>
            <family val="2"/>
          </rPr>
          <t>user:</t>
        </r>
        <r>
          <rPr>
            <sz val="9"/>
            <color indexed="81"/>
            <rFont val="Tahoma"/>
            <family val="2"/>
          </rPr>
          <t xml:space="preserve">
 Setia 
 Taskoom 
 Sidia 
 Sinar 
 Siramah 
 Sadar 
 Sitor 
</t>
        </r>
      </text>
    </comment>
    <comment ref="M74" authorId="0" shapeId="0">
      <text>
        <r>
          <rPr>
            <b/>
            <sz val="9"/>
            <color indexed="81"/>
            <rFont val="Tahoma"/>
            <family val="2"/>
          </rPr>
          <t>user:</t>
        </r>
        <r>
          <rPr>
            <sz val="9"/>
            <color indexed="81"/>
            <rFont val="Tahoma"/>
            <family val="2"/>
          </rPr>
          <t xml:space="preserve">
Pinjaman Modal Tabungan
Piutang Wirausaha
Piutang Usaha Mikro
Piutang Konsumtif
Piutang Kepemilikan Kendaraan
Piutang Kepemilikan Tanah &amp; Perumahan
Piutang Ziarah Rohani
</t>
        </r>
      </text>
    </comment>
    <comment ref="J75" authorId="0" shapeId="0">
      <text>
        <r>
          <rPr>
            <b/>
            <sz val="9"/>
            <color indexed="81"/>
            <rFont val="Tahoma"/>
            <family val="2"/>
          </rPr>
          <t>user:</t>
        </r>
        <r>
          <rPr>
            <sz val="9"/>
            <color indexed="81"/>
            <rFont val="Tahoma"/>
            <family val="2"/>
          </rPr>
          <t xml:space="preserve">
SIMANIS</t>
        </r>
      </text>
    </comment>
    <comment ref="K75" authorId="0" shapeId="0">
      <text>
        <r>
          <rPr>
            <b/>
            <sz val="9"/>
            <color indexed="81"/>
            <rFont val="Tahoma"/>
            <family val="2"/>
          </rPr>
          <t>user:</t>
        </r>
        <r>
          <rPr>
            <sz val="9"/>
            <color indexed="81"/>
            <rFont val="Tahoma"/>
            <family val="2"/>
          </rPr>
          <t xml:space="preserve">
Simpanan Joglo
Simpanan genthong
simpanan onthel
simpanan pensil
simpanan sinar
simpanan produktif
Simpanan Joglo
</t>
        </r>
      </text>
    </comment>
    <comment ref="L75" authorId="0" shapeId="0">
      <text>
        <r>
          <rPr>
            <b/>
            <sz val="9"/>
            <color indexed="81"/>
            <rFont val="Tahoma"/>
            <family val="2"/>
          </rPr>
          <t>user:</t>
        </r>
        <r>
          <rPr>
            <sz val="9"/>
            <color indexed="81"/>
            <rFont val="Tahoma"/>
            <family val="2"/>
          </rPr>
          <t xml:space="preserve">
ada piutang selain ke bkcuk</t>
        </r>
      </text>
    </comment>
    <comment ref="M75" authorId="0" shapeId="0">
      <text>
        <r>
          <rPr>
            <b/>
            <sz val="9"/>
            <color indexed="81"/>
            <rFont val="Tahoma"/>
            <family val="2"/>
          </rPr>
          <t>user:</t>
        </r>
        <r>
          <rPr>
            <sz val="9"/>
            <color indexed="81"/>
            <rFont val="Tahoma"/>
            <family val="2"/>
          </rPr>
          <t xml:space="preserve">
PRODUKTIF 
 SERBA-SERBI 
 JOGLO 
 ONTHEL 
 PENSIL 
 WINEH 
</t>
        </r>
      </text>
    </comment>
    <comment ref="J76" authorId="0" shapeId="0">
      <text>
        <r>
          <rPr>
            <b/>
            <sz val="9"/>
            <color indexed="81"/>
            <rFont val="Tahoma"/>
            <family val="2"/>
          </rPr>
          <t>user:</t>
        </r>
        <r>
          <rPr>
            <sz val="9"/>
            <color indexed="81"/>
            <rFont val="Tahoma"/>
            <family val="2"/>
          </rPr>
          <t xml:space="preserve">
SIMAPAN</t>
        </r>
      </text>
    </comment>
    <comment ref="J77" authorId="0" shapeId="0">
      <text>
        <r>
          <rPr>
            <b/>
            <sz val="9"/>
            <color indexed="81"/>
            <rFont val="Tahoma"/>
            <family val="2"/>
          </rPr>
          <t>user:</t>
        </r>
        <r>
          <rPr>
            <sz val="9"/>
            <color indexed="81"/>
            <rFont val="Tahoma"/>
            <family val="2"/>
          </rPr>
          <t xml:space="preserve">
TABERNAKEL</t>
        </r>
      </text>
    </comment>
    <comment ref="K77" authorId="0" shapeId="0">
      <text>
        <r>
          <rPr>
            <b/>
            <sz val="9"/>
            <color indexed="81"/>
            <rFont val="Tahoma"/>
            <family val="2"/>
          </rPr>
          <t>user:</t>
        </r>
        <r>
          <rPr>
            <sz val="9"/>
            <color indexed="81"/>
            <rFont val="Tahoma"/>
            <family val="2"/>
          </rPr>
          <t xml:space="preserve">
Talenta
Simpanan Stella Gerak 2
Simpanan Stella Gerak 4
Simpanan Stella Teduh
Kapel
Tarinak
</t>
        </r>
      </text>
    </comment>
    <comment ref="M77" authorId="0" shapeId="0">
      <text>
        <r>
          <rPr>
            <b/>
            <sz val="9"/>
            <color indexed="81"/>
            <rFont val="Tahoma"/>
            <family val="2"/>
          </rPr>
          <t>user:</t>
        </r>
        <r>
          <rPr>
            <sz val="9"/>
            <color indexed="81"/>
            <rFont val="Tahoma"/>
            <family val="2"/>
          </rPr>
          <t xml:space="preserve">
Piutang Pinjam Simpanan
Piutang Mikro
Piutang Produktif
Piutang Stella Teduh
Piutang Stella Gerak 2
Piutang Stella Gerak 4
Piutang Stella Tani
Piutang Pendidikan
Piutang Darurat
Piutang Umum
Piutang Kesejahteraan
</t>
        </r>
      </text>
    </comment>
    <comment ref="J78" authorId="0" shapeId="0">
      <text>
        <r>
          <rPr>
            <b/>
            <sz val="9"/>
            <color indexed="81"/>
            <rFont val="Tahoma"/>
            <family val="2"/>
          </rPr>
          <t>user:</t>
        </r>
        <r>
          <rPr>
            <sz val="9"/>
            <color indexed="81"/>
            <rFont val="Tahoma"/>
            <family val="2"/>
          </rPr>
          <t xml:space="preserve">
CUPUMAS</t>
        </r>
      </text>
    </comment>
    <comment ref="M78" authorId="0" shapeId="0">
      <text>
        <r>
          <rPr>
            <b/>
            <sz val="9"/>
            <color indexed="81"/>
            <rFont val="Tahoma"/>
            <family val="2"/>
          </rPr>
          <t>user:</t>
        </r>
        <r>
          <rPr>
            <sz val="9"/>
            <color indexed="81"/>
            <rFont val="Tahoma"/>
            <family val="2"/>
          </rPr>
          <t xml:space="preserve">
PIUTANG  ANGGOTA
PIUTANG AGRO &amp; TABEK
masih ada piutang non agt (hya tdk dimasukan dlm piutang beredar)</t>
        </r>
      </text>
    </comment>
    <comment ref="J79" authorId="0" shapeId="0">
      <text>
        <r>
          <rPr>
            <b/>
            <sz val="9"/>
            <color indexed="81"/>
            <rFont val="Tahoma"/>
            <family val="2"/>
          </rPr>
          <t>user:</t>
        </r>
        <r>
          <rPr>
            <sz val="9"/>
            <color indexed="81"/>
            <rFont val="Tahoma"/>
            <family val="2"/>
          </rPr>
          <t xml:space="preserve">
SIGAYU</t>
        </r>
      </text>
    </comment>
    <comment ref="H80" authorId="0" shapeId="0">
      <text>
        <r>
          <rPr>
            <b/>
            <sz val="9"/>
            <color indexed="81"/>
            <rFont val="Tahoma"/>
            <family val="2"/>
          </rPr>
          <t>user:</t>
        </r>
        <r>
          <rPr>
            <sz val="9"/>
            <color indexed="81"/>
            <rFont val="Tahoma"/>
            <family val="2"/>
          </rPr>
          <t xml:space="preserve">
CU Keliru /piutang agt tdk dimasukan dlm aset lancar</t>
        </r>
      </text>
    </comment>
    <comment ref="J80" authorId="0" shapeId="0">
      <text>
        <r>
          <rPr>
            <b/>
            <sz val="9"/>
            <color indexed="81"/>
            <rFont val="Tahoma"/>
            <family val="2"/>
          </rPr>
          <t>user:</t>
        </r>
        <r>
          <rPr>
            <sz val="9"/>
            <color indexed="81"/>
            <rFont val="Tahoma"/>
            <family val="2"/>
          </rPr>
          <t xml:space="preserve">
SITILUNG</t>
        </r>
      </text>
    </comment>
    <comment ref="J81" authorId="0" shapeId="0">
      <text>
        <r>
          <rPr>
            <b/>
            <sz val="9"/>
            <color indexed="81"/>
            <rFont val="Tahoma"/>
            <family val="2"/>
          </rPr>
          <t>user:</t>
        </r>
        <r>
          <rPr>
            <sz val="9"/>
            <color indexed="81"/>
            <rFont val="Tahoma"/>
            <family val="2"/>
          </rPr>
          <t xml:space="preserve">
SI-EMAS</t>
        </r>
      </text>
    </comment>
    <comment ref="J82" authorId="0" shapeId="0">
      <text>
        <r>
          <rPr>
            <b/>
            <sz val="9"/>
            <color indexed="81"/>
            <rFont val="Tahoma"/>
            <family val="2"/>
          </rPr>
          <t>user:</t>
        </r>
        <r>
          <rPr>
            <sz val="9"/>
            <color indexed="81"/>
            <rFont val="Tahoma"/>
            <family val="2"/>
          </rPr>
          <t xml:space="preserve">
SAPALA</t>
        </r>
      </text>
    </comment>
    <comment ref="J83" authorId="0" shapeId="0">
      <text>
        <r>
          <rPr>
            <b/>
            <sz val="9"/>
            <color indexed="81"/>
            <rFont val="Tahoma"/>
            <family val="2"/>
          </rPr>
          <t>user:</t>
        </r>
        <r>
          <rPr>
            <sz val="9"/>
            <color indexed="81"/>
            <rFont val="Tahoma"/>
            <family val="2"/>
          </rPr>
          <t xml:space="preserve">
Teroket</t>
        </r>
      </text>
    </comment>
    <comment ref="J84" authorId="0" shapeId="0">
      <text>
        <r>
          <rPr>
            <b/>
            <sz val="9"/>
            <color indexed="81"/>
            <rFont val="Tahoma"/>
            <family val="2"/>
          </rPr>
          <t>user:</t>
        </r>
        <r>
          <rPr>
            <sz val="9"/>
            <color indexed="81"/>
            <rFont val="Tahoma"/>
            <family val="2"/>
          </rPr>
          <t xml:space="preserve">
Megapolitan</t>
        </r>
      </text>
    </comment>
    <comment ref="J85" authorId="0" shapeId="0">
      <text>
        <r>
          <rPr>
            <b/>
            <sz val="9"/>
            <color indexed="81"/>
            <rFont val="Tahoma"/>
            <family val="2"/>
          </rPr>
          <t>user:</t>
        </r>
        <r>
          <rPr>
            <sz val="9"/>
            <color indexed="81"/>
            <rFont val="Tahoma"/>
            <family val="2"/>
          </rPr>
          <t xml:space="preserve">
siwaris</t>
        </r>
      </text>
    </comment>
    <comment ref="J86" authorId="0" shapeId="0">
      <text>
        <r>
          <rPr>
            <b/>
            <sz val="9"/>
            <color indexed="81"/>
            <rFont val="Tahoma"/>
            <family val="2"/>
          </rPr>
          <t>user:</t>
        </r>
        <r>
          <rPr>
            <sz val="9"/>
            <color indexed="81"/>
            <rFont val="Tahoma"/>
            <family val="2"/>
          </rPr>
          <t xml:space="preserve">
Simpanan Tagon</t>
        </r>
      </text>
    </comment>
    <comment ref="J87" authorId="0" shapeId="0">
      <text>
        <r>
          <rPr>
            <b/>
            <sz val="9"/>
            <color indexed="81"/>
            <rFont val="Tahoma"/>
            <family val="2"/>
          </rPr>
          <t>user:</t>
        </r>
        <r>
          <rPr>
            <sz val="9"/>
            <color indexed="81"/>
            <rFont val="Tahoma"/>
            <family val="2"/>
          </rPr>
          <t xml:space="preserve">
Tampan</t>
        </r>
      </text>
    </comment>
    <comment ref="K87" authorId="0" shapeId="0">
      <text>
        <r>
          <rPr>
            <b/>
            <sz val="9"/>
            <color indexed="81"/>
            <rFont val="Tahoma"/>
            <family val="2"/>
          </rPr>
          <t>user:</t>
        </r>
        <r>
          <rPr>
            <sz val="9"/>
            <color indexed="81"/>
            <rFont val="Tahoma"/>
            <family val="2"/>
          </rPr>
          <t xml:space="preserve">
    TUMBUH,    Simpanan Perumahan,    Simpanan Kendaraan,    SBPLK,    Simpanan Pendidikan</t>
        </r>
      </text>
    </comment>
    <comment ref="J88" authorId="0" shapeId="0">
      <text>
        <r>
          <rPr>
            <b/>
            <sz val="9"/>
            <color indexed="81"/>
            <rFont val="Tahoma"/>
            <family val="2"/>
          </rPr>
          <t>user:</t>
        </r>
        <r>
          <rPr>
            <sz val="9"/>
            <color indexed="81"/>
            <rFont val="Tahoma"/>
            <family val="2"/>
          </rPr>
          <t xml:space="preserve">
DAKAPI</t>
        </r>
      </text>
    </comment>
    <comment ref="J89" authorId="0" shapeId="0">
      <text>
        <r>
          <rPr>
            <b/>
            <sz val="9"/>
            <color indexed="81"/>
            <rFont val="Tahoma"/>
            <family val="2"/>
          </rPr>
          <t>user:</t>
        </r>
        <r>
          <rPr>
            <sz val="9"/>
            <color indexed="81"/>
            <rFont val="Tahoma"/>
            <family val="2"/>
          </rPr>
          <t xml:space="preserve">
THO HIW MK</t>
        </r>
      </text>
    </comment>
    <comment ref="J90" authorId="0" shapeId="0">
      <text>
        <r>
          <rPr>
            <b/>
            <sz val="9"/>
            <color indexed="81"/>
            <rFont val="Tahoma"/>
            <family val="2"/>
          </rPr>
          <t>user:</t>
        </r>
        <r>
          <rPr>
            <sz val="9"/>
            <color indexed="81"/>
            <rFont val="Tahoma"/>
            <family val="2"/>
          </rPr>
          <t xml:space="preserve">
semai</t>
        </r>
      </text>
    </comment>
    <comment ref="J91" authorId="0" shapeId="0">
      <text>
        <r>
          <rPr>
            <b/>
            <sz val="9"/>
            <color indexed="81"/>
            <rFont val="Tahoma"/>
            <family val="2"/>
          </rPr>
          <t>user:</t>
        </r>
        <r>
          <rPr>
            <sz val="9"/>
            <color indexed="81"/>
            <rFont val="Tahoma"/>
            <family val="2"/>
          </rPr>
          <t xml:space="preserve">
Simpanan Halasa</t>
        </r>
      </text>
    </comment>
    <comment ref="J92" authorId="0" shapeId="0">
      <text>
        <r>
          <rPr>
            <b/>
            <sz val="9"/>
            <color indexed="81"/>
            <rFont val="Tahoma"/>
            <family val="2"/>
          </rPr>
          <t>user:</t>
        </r>
        <r>
          <rPr>
            <sz val="9"/>
            <color indexed="81"/>
            <rFont val="Tahoma"/>
            <family val="2"/>
          </rPr>
          <t xml:space="preserve">
SIHARTA</t>
        </r>
      </text>
    </comment>
    <comment ref="J93" authorId="0" shapeId="0">
      <text>
        <r>
          <rPr>
            <b/>
            <sz val="9"/>
            <color indexed="81"/>
            <rFont val="Tahoma"/>
            <family val="2"/>
          </rPr>
          <t>user:</t>
        </r>
        <r>
          <rPr>
            <sz val="9"/>
            <color indexed="81"/>
            <rFont val="Tahoma"/>
            <family val="2"/>
          </rPr>
          <t xml:space="preserve">
Sinata</t>
        </r>
      </text>
    </comment>
    <comment ref="J94" authorId="0" shapeId="0">
      <text>
        <r>
          <rPr>
            <b/>
            <sz val="9"/>
            <color indexed="81"/>
            <rFont val="Tahoma"/>
            <family val="2"/>
          </rPr>
          <t>user:</t>
        </r>
        <r>
          <rPr>
            <sz val="9"/>
            <color indexed="81"/>
            <rFont val="Tahoma"/>
            <family val="2"/>
          </rPr>
          <t xml:space="preserve">
SINERA</t>
        </r>
      </text>
    </comment>
    <comment ref="J95" authorId="0" shapeId="0">
      <text>
        <r>
          <rPr>
            <b/>
            <sz val="9"/>
            <color indexed="81"/>
            <rFont val="Tahoma"/>
            <family val="2"/>
          </rPr>
          <t>user:</t>
        </r>
        <r>
          <rPr>
            <sz val="9"/>
            <color indexed="81"/>
            <rFont val="Tahoma"/>
            <family val="2"/>
          </rPr>
          <t xml:space="preserve">
Duit Turus</t>
        </r>
      </text>
    </comment>
    <comment ref="J96" authorId="0" shapeId="0">
      <text>
        <r>
          <rPr>
            <b/>
            <sz val="9"/>
            <color indexed="81"/>
            <rFont val="Tahoma"/>
            <family val="2"/>
          </rPr>
          <t>user:</t>
        </r>
        <r>
          <rPr>
            <sz val="9"/>
            <color indexed="81"/>
            <rFont val="Tahoma"/>
            <family val="2"/>
          </rPr>
          <t xml:space="preserve">
Kecubung Prima</t>
        </r>
      </text>
    </comment>
    <comment ref="J97" authorId="0" shapeId="0">
      <text>
        <r>
          <rPr>
            <b/>
            <sz val="9"/>
            <color indexed="81"/>
            <rFont val="Tahoma"/>
            <family val="2"/>
          </rPr>
          <t>user:</t>
        </r>
        <r>
          <rPr>
            <sz val="9"/>
            <color indexed="81"/>
            <rFont val="Tahoma"/>
            <family val="2"/>
          </rPr>
          <t xml:space="preserve">
SEDI</t>
        </r>
      </text>
    </comment>
    <comment ref="J98" authorId="0" shapeId="0">
      <text>
        <r>
          <rPr>
            <b/>
            <sz val="9"/>
            <color indexed="81"/>
            <rFont val="Tahoma"/>
            <family val="2"/>
          </rPr>
          <t>user:</t>
        </r>
        <r>
          <rPr>
            <sz val="9"/>
            <color indexed="81"/>
            <rFont val="Tahoma"/>
            <family val="2"/>
          </rPr>
          <t xml:space="preserve">
SIDAYA</t>
        </r>
      </text>
    </comment>
    <comment ref="J99" authorId="0" shapeId="0">
      <text>
        <r>
          <rPr>
            <b/>
            <sz val="9"/>
            <color indexed="81"/>
            <rFont val="Tahoma"/>
            <family val="2"/>
          </rPr>
          <t>user:</t>
        </r>
        <r>
          <rPr>
            <sz val="9"/>
            <color indexed="81"/>
            <rFont val="Tahoma"/>
            <family val="2"/>
          </rPr>
          <t xml:space="preserve">
 Animha</t>
        </r>
      </text>
    </comment>
    <comment ref="J100" authorId="0" shapeId="0">
      <text>
        <r>
          <rPr>
            <b/>
            <sz val="9"/>
            <color indexed="81"/>
            <rFont val="Tahoma"/>
            <family val="2"/>
          </rPr>
          <t>user:</t>
        </r>
        <r>
          <rPr>
            <sz val="9"/>
            <color indexed="81"/>
            <rFont val="Tahoma"/>
            <family val="2"/>
          </rPr>
          <t xml:space="preserve">
Wini Liin</t>
        </r>
      </text>
    </comment>
    <comment ref="J101" authorId="0" shapeId="0">
      <text>
        <r>
          <rPr>
            <b/>
            <sz val="9"/>
            <color indexed="81"/>
            <rFont val="Tahoma"/>
            <family val="2"/>
          </rPr>
          <t>user:</t>
        </r>
        <r>
          <rPr>
            <sz val="9"/>
            <color indexed="81"/>
            <rFont val="Tahoma"/>
            <family val="2"/>
          </rPr>
          <t xml:space="preserve">
Simpanan Mana</t>
        </r>
      </text>
    </comment>
    <comment ref="J102" authorId="0" shapeId="0">
      <text>
        <r>
          <rPr>
            <b/>
            <sz val="9"/>
            <color indexed="81"/>
            <rFont val="Tahoma"/>
            <family val="2"/>
          </rPr>
          <t>user:</t>
        </r>
        <r>
          <rPr>
            <sz val="9"/>
            <color indexed="81"/>
            <rFont val="Tahoma"/>
            <family val="2"/>
          </rPr>
          <t xml:space="preserve">
Jagona</t>
        </r>
      </text>
    </comment>
    <comment ref="J103" authorId="0" shapeId="0">
      <text>
        <r>
          <rPr>
            <b/>
            <sz val="9"/>
            <color indexed="81"/>
            <rFont val="Tahoma"/>
            <family val="2"/>
          </rPr>
          <t>user:</t>
        </r>
        <r>
          <rPr>
            <sz val="9"/>
            <color indexed="81"/>
            <rFont val="Tahoma"/>
            <family val="2"/>
          </rPr>
          <t xml:space="preserve">
Wini</t>
        </r>
      </text>
    </comment>
    <comment ref="J104" authorId="0" shapeId="0">
      <text>
        <r>
          <rPr>
            <b/>
            <sz val="9"/>
            <color indexed="81"/>
            <rFont val="Tahoma"/>
            <family val="2"/>
          </rPr>
          <t>user:</t>
        </r>
        <r>
          <rPr>
            <sz val="9"/>
            <color indexed="81"/>
            <rFont val="Tahoma"/>
            <family val="2"/>
          </rPr>
          <t xml:space="preserve">
SISARON</t>
        </r>
      </text>
    </comment>
    <comment ref="J105" authorId="0" shapeId="0">
      <text>
        <r>
          <rPr>
            <b/>
            <sz val="9"/>
            <color indexed="81"/>
            <rFont val="Tahoma"/>
            <family val="2"/>
          </rPr>
          <t>user:</t>
        </r>
        <r>
          <rPr>
            <sz val="9"/>
            <color indexed="81"/>
            <rFont val="Tahoma"/>
            <family val="2"/>
          </rPr>
          <t xml:space="preserve">
FINI</t>
        </r>
      </text>
    </comment>
    <comment ref="K105" authorId="0" shapeId="0">
      <text>
        <r>
          <rPr>
            <b/>
            <sz val="9"/>
            <color indexed="81"/>
            <rFont val="Tahoma"/>
            <family val="2"/>
          </rPr>
          <t>user:</t>
        </r>
        <r>
          <rPr>
            <sz val="9"/>
            <color indexed="81"/>
            <rFont val="Tahoma"/>
            <family val="2"/>
          </rPr>
          <t xml:space="preserve">
SUFA, LOPO,Simpanan Pendidikan, Simpanan Perumahan,Simpanan Masa Sulit,Simpanan Uma Metan,Simpanan Mahinat Matenek,Simpanan Hari Tua Staf</t>
        </r>
      </text>
    </comment>
    <comment ref="M105" authorId="0" shapeId="0">
      <text>
        <r>
          <rPr>
            <b/>
            <sz val="9"/>
            <color indexed="81"/>
            <rFont val="Tahoma"/>
            <family val="2"/>
          </rPr>
          <t>user:</t>
        </r>
        <r>
          <rPr>
            <sz val="9"/>
            <color indexed="81"/>
            <rFont val="Tahoma"/>
            <family val="2"/>
          </rPr>
          <t xml:space="preserve">
Piutang PINTA
Piutang Produktif
Piutang Uma Kain
Piutang Kendaraan Bermotor
Piutang Kepemilikan Rumah
Piutang Komunitas Basis
Piutang Pendidikan
Piutang Uma Metan
</t>
        </r>
      </text>
    </comment>
    <comment ref="J106" authorId="0" shapeId="0">
      <text>
        <r>
          <rPr>
            <b/>
            <sz val="9"/>
            <color indexed="81"/>
            <rFont val="Tahoma"/>
            <family val="2"/>
          </rPr>
          <t>user:</t>
        </r>
        <r>
          <rPr>
            <sz val="9"/>
            <color indexed="81"/>
            <rFont val="Tahoma"/>
            <family val="2"/>
          </rPr>
          <t xml:space="preserve">
Prima Investa</t>
        </r>
      </text>
    </comment>
    <comment ref="J107" authorId="0" shapeId="0">
      <text>
        <r>
          <rPr>
            <b/>
            <sz val="9"/>
            <color indexed="81"/>
            <rFont val="Tahoma"/>
            <family val="2"/>
          </rPr>
          <t>user:</t>
        </r>
        <r>
          <rPr>
            <sz val="9"/>
            <color indexed="81"/>
            <rFont val="Tahoma"/>
            <family val="2"/>
          </rPr>
          <t xml:space="preserve">
DUSUN</t>
        </r>
      </text>
    </comment>
    <comment ref="J108" authorId="0" shapeId="0">
      <text>
        <r>
          <rPr>
            <b/>
            <sz val="9"/>
            <color indexed="81"/>
            <rFont val="Tahoma"/>
            <family val="2"/>
          </rPr>
          <t>user:</t>
        </r>
        <r>
          <rPr>
            <sz val="9"/>
            <color indexed="81"/>
            <rFont val="Tahoma"/>
            <family val="2"/>
          </rPr>
          <t xml:space="preserve">
SEHATI</t>
        </r>
      </text>
    </comment>
    <comment ref="J109" authorId="0" shapeId="0">
      <text>
        <r>
          <rPr>
            <b/>
            <sz val="9"/>
            <color indexed="81"/>
            <rFont val="Tahoma"/>
            <family val="2"/>
          </rPr>
          <t>user:</t>
        </r>
        <r>
          <rPr>
            <sz val="9"/>
            <color indexed="81"/>
            <rFont val="Tahoma"/>
            <family val="2"/>
          </rPr>
          <t xml:space="preserve">
Simpanan Okop Ese</t>
        </r>
      </text>
    </comment>
    <comment ref="J110" authorId="0" shapeId="0">
      <text>
        <r>
          <rPr>
            <b/>
            <sz val="9"/>
            <color indexed="81"/>
            <rFont val="Tahoma"/>
            <family val="2"/>
          </rPr>
          <t>user:</t>
        </r>
        <r>
          <rPr>
            <sz val="9"/>
            <color indexed="81"/>
            <rFont val="Tahoma"/>
            <family val="2"/>
          </rPr>
          <t xml:space="preserve">
Simpanan Winni</t>
        </r>
      </text>
    </comment>
    <comment ref="K110" authorId="0" shapeId="0">
      <text>
        <r>
          <rPr>
            <b/>
            <sz val="9"/>
            <color indexed="81"/>
            <rFont val="Tahoma"/>
            <family val="2"/>
          </rPr>
          <t>user:</t>
        </r>
        <r>
          <rPr>
            <sz val="9"/>
            <color indexed="81"/>
            <rFont val="Tahoma"/>
            <family val="2"/>
          </rPr>
          <t xml:space="preserve">
Ballang
Pendidikan/TAS
Perumahan 
Pensiun
Wolla
</t>
        </r>
      </text>
    </comment>
    <comment ref="M110" authorId="0" shapeId="0">
      <text>
        <r>
          <rPr>
            <b/>
            <sz val="9"/>
            <color indexed="81"/>
            <rFont val="Tahoma"/>
            <family val="2"/>
          </rPr>
          <t>user:</t>
        </r>
        <r>
          <rPr>
            <sz val="9"/>
            <color indexed="81"/>
            <rFont val="Tahoma"/>
            <family val="2"/>
          </rPr>
          <t xml:space="preserve">
1. Kapitalisasi
2. Pendidikan
3. Perumahan
4. Umum
5. Khusus
</t>
        </r>
      </text>
    </comment>
    <comment ref="J111" authorId="0" shapeId="0">
      <text>
        <r>
          <rPr>
            <b/>
            <sz val="9"/>
            <color indexed="81"/>
            <rFont val="Tahoma"/>
            <family val="2"/>
          </rPr>
          <t>user:</t>
        </r>
        <r>
          <rPr>
            <sz val="9"/>
            <color indexed="81"/>
            <rFont val="Tahoma"/>
            <family val="2"/>
          </rPr>
          <t xml:space="preserve">
Tampan</t>
        </r>
      </text>
    </comment>
    <comment ref="J112" authorId="0" shapeId="0">
      <text>
        <r>
          <rPr>
            <b/>
            <sz val="9"/>
            <color indexed="81"/>
            <rFont val="Tahoma"/>
            <family val="2"/>
          </rPr>
          <t>user:</t>
        </r>
        <r>
          <rPr>
            <sz val="9"/>
            <color indexed="81"/>
            <rFont val="Tahoma"/>
            <family val="2"/>
          </rPr>
          <t xml:space="preserve">
SIMANIS</t>
        </r>
      </text>
    </comment>
    <comment ref="L112" authorId="0" shapeId="0">
      <text>
        <r>
          <rPr>
            <b/>
            <sz val="9"/>
            <color indexed="81"/>
            <rFont val="Tahoma"/>
            <family val="2"/>
          </rPr>
          <t>user:</t>
        </r>
        <r>
          <rPr>
            <sz val="9"/>
            <color indexed="81"/>
            <rFont val="Tahoma"/>
            <family val="2"/>
          </rPr>
          <t xml:space="preserve">
ada piutang selain ke bkcuk</t>
        </r>
      </text>
    </comment>
    <comment ref="J113" authorId="0" shapeId="0">
      <text>
        <r>
          <rPr>
            <b/>
            <sz val="9"/>
            <color indexed="81"/>
            <rFont val="Tahoma"/>
            <family val="2"/>
          </rPr>
          <t>user:</t>
        </r>
        <r>
          <rPr>
            <sz val="9"/>
            <color indexed="81"/>
            <rFont val="Tahoma"/>
            <family val="2"/>
          </rPr>
          <t xml:space="preserve">
SIMAPAN</t>
        </r>
      </text>
    </comment>
    <comment ref="J114" authorId="0" shapeId="0">
      <text>
        <r>
          <rPr>
            <b/>
            <sz val="9"/>
            <color indexed="81"/>
            <rFont val="Tahoma"/>
            <family val="2"/>
          </rPr>
          <t>user:</t>
        </r>
        <r>
          <rPr>
            <sz val="9"/>
            <color indexed="81"/>
            <rFont val="Tahoma"/>
            <family val="2"/>
          </rPr>
          <t xml:space="preserve">
TABERNAKEL</t>
        </r>
      </text>
    </comment>
    <comment ref="J115" authorId="0" shapeId="0">
      <text>
        <r>
          <rPr>
            <b/>
            <sz val="9"/>
            <color indexed="81"/>
            <rFont val="Tahoma"/>
            <family val="2"/>
          </rPr>
          <t>user:</t>
        </r>
        <r>
          <rPr>
            <sz val="9"/>
            <color indexed="81"/>
            <rFont val="Tahoma"/>
            <family val="2"/>
          </rPr>
          <t xml:space="preserve">
CUPUMAS</t>
        </r>
      </text>
    </comment>
    <comment ref="J116" authorId="0" shapeId="0">
      <text>
        <r>
          <rPr>
            <b/>
            <sz val="9"/>
            <color indexed="81"/>
            <rFont val="Tahoma"/>
            <family val="2"/>
          </rPr>
          <t>user:</t>
        </r>
        <r>
          <rPr>
            <sz val="9"/>
            <color indexed="81"/>
            <rFont val="Tahoma"/>
            <family val="2"/>
          </rPr>
          <t xml:space="preserve">
SIGAYU</t>
        </r>
      </text>
    </comment>
    <comment ref="J117" authorId="0" shapeId="0">
      <text>
        <r>
          <rPr>
            <b/>
            <sz val="9"/>
            <color indexed="81"/>
            <rFont val="Tahoma"/>
            <family val="2"/>
          </rPr>
          <t>user:</t>
        </r>
        <r>
          <rPr>
            <sz val="9"/>
            <color indexed="81"/>
            <rFont val="Tahoma"/>
            <family val="2"/>
          </rPr>
          <t xml:space="preserve">
Sukarela</t>
        </r>
      </text>
    </comment>
    <comment ref="H118" authorId="0" shapeId="0">
      <text>
        <r>
          <rPr>
            <b/>
            <sz val="9"/>
            <color indexed="81"/>
            <rFont val="Tahoma"/>
            <family val="2"/>
          </rPr>
          <t>user:</t>
        </r>
        <r>
          <rPr>
            <sz val="9"/>
            <color indexed="81"/>
            <rFont val="Tahoma"/>
            <family val="2"/>
          </rPr>
          <t xml:space="preserve">
CU Keliru /piutang agt tdk dimasukan dlm aset lancar</t>
        </r>
      </text>
    </comment>
    <comment ref="J118" authorId="0" shapeId="0">
      <text>
        <r>
          <rPr>
            <b/>
            <sz val="9"/>
            <color indexed="81"/>
            <rFont val="Tahoma"/>
            <family val="2"/>
          </rPr>
          <t>user:</t>
        </r>
        <r>
          <rPr>
            <sz val="9"/>
            <color indexed="81"/>
            <rFont val="Tahoma"/>
            <family val="2"/>
          </rPr>
          <t xml:space="preserve">
SITILUNG</t>
        </r>
      </text>
    </comment>
    <comment ref="J119" authorId="0" shapeId="0">
      <text>
        <r>
          <rPr>
            <b/>
            <sz val="9"/>
            <color indexed="81"/>
            <rFont val="Tahoma"/>
            <family val="2"/>
          </rPr>
          <t>user:</t>
        </r>
        <r>
          <rPr>
            <sz val="9"/>
            <color indexed="81"/>
            <rFont val="Tahoma"/>
            <family val="2"/>
          </rPr>
          <t xml:space="preserve">
SI-EMAS</t>
        </r>
      </text>
    </comment>
    <comment ref="J120" authorId="0" shapeId="0">
      <text>
        <r>
          <rPr>
            <b/>
            <sz val="9"/>
            <color indexed="81"/>
            <rFont val="Tahoma"/>
            <family val="2"/>
          </rPr>
          <t>user:</t>
        </r>
        <r>
          <rPr>
            <sz val="9"/>
            <color indexed="81"/>
            <rFont val="Tahoma"/>
            <family val="2"/>
          </rPr>
          <t xml:space="preserve">
sAHUI</t>
        </r>
      </text>
    </comment>
    <comment ref="L120" authorId="0" shapeId="0">
      <text>
        <r>
          <rPr>
            <b/>
            <sz val="9"/>
            <color indexed="81"/>
            <rFont val="Tahoma"/>
            <family val="2"/>
          </rPr>
          <t>user:</t>
        </r>
        <r>
          <rPr>
            <sz val="9"/>
            <color indexed="81"/>
            <rFont val="Tahoma"/>
            <family val="2"/>
          </rPr>
          <t xml:space="preserve">
  Hutang SPD BKCU
    Hutang Pantas BKCU
    Hutang Modal Usaha &gt;1Thn
  Hutang Sikodit BKCU</t>
        </r>
      </text>
    </comment>
    <comment ref="J121" authorId="0" shapeId="0">
      <text>
        <r>
          <rPr>
            <b/>
            <sz val="9"/>
            <color indexed="81"/>
            <rFont val="Tahoma"/>
            <family val="2"/>
          </rPr>
          <t>user:</t>
        </r>
        <r>
          <rPr>
            <sz val="9"/>
            <color indexed="81"/>
            <rFont val="Tahoma"/>
            <family val="2"/>
          </rPr>
          <t xml:space="preserve">
SAPALA</t>
        </r>
      </text>
    </comment>
    <comment ref="J122" authorId="0" shapeId="0">
      <text>
        <r>
          <rPr>
            <b/>
            <sz val="9"/>
            <color indexed="81"/>
            <rFont val="Tahoma"/>
            <family val="2"/>
          </rPr>
          <t>user:</t>
        </r>
        <r>
          <rPr>
            <sz val="9"/>
            <color indexed="81"/>
            <rFont val="Tahoma"/>
            <family val="2"/>
          </rPr>
          <t xml:space="preserve">
Teroket</t>
        </r>
      </text>
    </comment>
    <comment ref="J123" authorId="0" shapeId="0">
      <text>
        <r>
          <rPr>
            <b/>
            <sz val="9"/>
            <color indexed="81"/>
            <rFont val="Tahoma"/>
            <family val="2"/>
          </rPr>
          <t>user:</t>
        </r>
        <r>
          <rPr>
            <sz val="9"/>
            <color indexed="81"/>
            <rFont val="Tahoma"/>
            <family val="2"/>
          </rPr>
          <t xml:space="preserve">
Megapolitan</t>
        </r>
      </text>
    </comment>
    <comment ref="J124" authorId="0" shapeId="0">
      <text>
        <r>
          <rPr>
            <b/>
            <sz val="9"/>
            <color indexed="81"/>
            <rFont val="Tahoma"/>
            <family val="2"/>
          </rPr>
          <t>user:</t>
        </r>
        <r>
          <rPr>
            <sz val="9"/>
            <color indexed="81"/>
            <rFont val="Tahoma"/>
            <family val="2"/>
          </rPr>
          <t xml:space="preserve">
siwaris</t>
        </r>
      </text>
    </comment>
    <comment ref="J125" authorId="0" shapeId="0">
      <text>
        <r>
          <rPr>
            <b/>
            <sz val="9"/>
            <color indexed="81"/>
            <rFont val="Tahoma"/>
            <family val="2"/>
          </rPr>
          <t>user:</t>
        </r>
        <r>
          <rPr>
            <sz val="9"/>
            <color indexed="81"/>
            <rFont val="Tahoma"/>
            <family val="2"/>
          </rPr>
          <t xml:space="preserve">
Simpanan Tagon</t>
        </r>
      </text>
    </comment>
    <comment ref="J126" authorId="0" shapeId="0">
      <text>
        <r>
          <rPr>
            <b/>
            <sz val="9"/>
            <color indexed="81"/>
            <rFont val="Tahoma"/>
            <family val="2"/>
          </rPr>
          <t>user:</t>
        </r>
        <r>
          <rPr>
            <sz val="9"/>
            <color indexed="81"/>
            <rFont val="Tahoma"/>
            <family val="2"/>
          </rPr>
          <t xml:space="preserve">
gemas</t>
        </r>
      </text>
    </comment>
    <comment ref="J127" authorId="0" shapeId="0">
      <text>
        <r>
          <rPr>
            <b/>
            <sz val="9"/>
            <color indexed="81"/>
            <rFont val="Tahoma"/>
            <family val="2"/>
          </rPr>
          <t>user:</t>
        </r>
        <r>
          <rPr>
            <sz val="9"/>
            <color indexed="81"/>
            <rFont val="Tahoma"/>
            <family val="2"/>
          </rPr>
          <t xml:space="preserve">
Tampan</t>
        </r>
      </text>
    </comment>
    <comment ref="K127" authorId="0" shapeId="0">
      <text>
        <r>
          <rPr>
            <b/>
            <sz val="9"/>
            <color indexed="81"/>
            <rFont val="Tahoma"/>
            <family val="2"/>
          </rPr>
          <t>user:</t>
        </r>
        <r>
          <rPr>
            <sz val="9"/>
            <color indexed="81"/>
            <rFont val="Tahoma"/>
            <family val="2"/>
          </rPr>
          <t xml:space="preserve">
    TUMBUH,    Simpanan Perumahan,    Simpanan Kendaraan,    SBPLK,    Simpanan Pendidikan</t>
        </r>
      </text>
    </comment>
    <comment ref="J128" authorId="0" shapeId="0">
      <text>
        <r>
          <rPr>
            <b/>
            <sz val="9"/>
            <color indexed="81"/>
            <rFont val="Tahoma"/>
            <family val="2"/>
          </rPr>
          <t>user:</t>
        </r>
        <r>
          <rPr>
            <sz val="9"/>
            <color indexed="81"/>
            <rFont val="Tahoma"/>
            <family val="2"/>
          </rPr>
          <t xml:space="preserve">
DAKAPI</t>
        </r>
      </text>
    </comment>
    <comment ref="J129" authorId="0" shapeId="0">
      <text>
        <r>
          <rPr>
            <b/>
            <sz val="9"/>
            <color indexed="81"/>
            <rFont val="Tahoma"/>
            <family val="2"/>
          </rPr>
          <t>user:</t>
        </r>
        <r>
          <rPr>
            <sz val="9"/>
            <color indexed="81"/>
            <rFont val="Tahoma"/>
            <family val="2"/>
          </rPr>
          <t xml:space="preserve">
THO HIW MK</t>
        </r>
      </text>
    </comment>
    <comment ref="J130" authorId="0" shapeId="0">
      <text>
        <r>
          <rPr>
            <b/>
            <sz val="9"/>
            <color indexed="81"/>
            <rFont val="Tahoma"/>
            <family val="2"/>
          </rPr>
          <t>user:</t>
        </r>
        <r>
          <rPr>
            <sz val="9"/>
            <color indexed="81"/>
            <rFont val="Tahoma"/>
            <family val="2"/>
          </rPr>
          <t xml:space="preserve">
semai</t>
        </r>
      </text>
    </comment>
    <comment ref="J131" authorId="0" shapeId="0">
      <text>
        <r>
          <rPr>
            <b/>
            <sz val="9"/>
            <color indexed="81"/>
            <rFont val="Tahoma"/>
            <family val="2"/>
          </rPr>
          <t>user:</t>
        </r>
        <r>
          <rPr>
            <sz val="9"/>
            <color indexed="81"/>
            <rFont val="Tahoma"/>
            <family val="2"/>
          </rPr>
          <t xml:space="preserve">
SIHARTA</t>
        </r>
      </text>
    </comment>
    <comment ref="J132" authorId="0" shapeId="0">
      <text>
        <r>
          <rPr>
            <b/>
            <sz val="9"/>
            <color indexed="81"/>
            <rFont val="Tahoma"/>
            <family val="2"/>
          </rPr>
          <t>user:</t>
        </r>
        <r>
          <rPr>
            <sz val="9"/>
            <color indexed="81"/>
            <rFont val="Tahoma"/>
            <family val="2"/>
          </rPr>
          <t xml:space="preserve">
Sinata</t>
        </r>
      </text>
    </comment>
    <comment ref="J133" authorId="0" shapeId="0">
      <text>
        <r>
          <rPr>
            <b/>
            <sz val="9"/>
            <color indexed="81"/>
            <rFont val="Tahoma"/>
            <family val="2"/>
          </rPr>
          <t>user:</t>
        </r>
        <r>
          <rPr>
            <sz val="9"/>
            <color indexed="81"/>
            <rFont val="Tahoma"/>
            <family val="2"/>
          </rPr>
          <t xml:space="preserve">
SINERA</t>
        </r>
      </text>
    </comment>
    <comment ref="J134" authorId="0" shapeId="0">
      <text>
        <r>
          <rPr>
            <b/>
            <sz val="9"/>
            <color indexed="81"/>
            <rFont val="Tahoma"/>
            <family val="2"/>
          </rPr>
          <t>user:</t>
        </r>
        <r>
          <rPr>
            <sz val="9"/>
            <color indexed="81"/>
            <rFont val="Tahoma"/>
            <family val="2"/>
          </rPr>
          <t xml:space="preserve">
Duit Turus</t>
        </r>
      </text>
    </comment>
    <comment ref="J135" authorId="0" shapeId="0">
      <text>
        <r>
          <rPr>
            <b/>
            <sz val="9"/>
            <color indexed="81"/>
            <rFont val="Tahoma"/>
            <family val="2"/>
          </rPr>
          <t>user:</t>
        </r>
        <r>
          <rPr>
            <sz val="9"/>
            <color indexed="81"/>
            <rFont val="Tahoma"/>
            <family val="2"/>
          </rPr>
          <t xml:space="preserve">
Kecubung Prima</t>
        </r>
      </text>
    </comment>
    <comment ref="J136" authorId="0" shapeId="0">
      <text>
        <r>
          <rPr>
            <b/>
            <sz val="9"/>
            <color indexed="81"/>
            <rFont val="Tahoma"/>
            <family val="2"/>
          </rPr>
          <t>user:</t>
        </r>
        <r>
          <rPr>
            <sz val="9"/>
            <color indexed="81"/>
            <rFont val="Tahoma"/>
            <family val="2"/>
          </rPr>
          <t xml:space="preserve">
SEDI</t>
        </r>
      </text>
    </comment>
    <comment ref="J137" authorId="0" shapeId="0">
      <text>
        <r>
          <rPr>
            <b/>
            <sz val="9"/>
            <color indexed="81"/>
            <rFont val="Tahoma"/>
            <family val="2"/>
          </rPr>
          <t>user:</t>
        </r>
        <r>
          <rPr>
            <sz val="9"/>
            <color indexed="81"/>
            <rFont val="Tahoma"/>
            <family val="2"/>
          </rPr>
          <t xml:space="preserve">
.Simpanan Talenta</t>
        </r>
      </text>
    </comment>
    <comment ref="J138" authorId="0" shapeId="0">
      <text>
        <r>
          <rPr>
            <b/>
            <sz val="9"/>
            <color indexed="81"/>
            <rFont val="Tahoma"/>
            <family val="2"/>
          </rPr>
          <t>user:</t>
        </r>
        <r>
          <rPr>
            <sz val="9"/>
            <color indexed="81"/>
            <rFont val="Tahoma"/>
            <family val="2"/>
          </rPr>
          <t xml:space="preserve">
SIDAYA</t>
        </r>
      </text>
    </comment>
    <comment ref="J139" authorId="0" shapeId="0">
      <text>
        <r>
          <rPr>
            <b/>
            <sz val="9"/>
            <color indexed="81"/>
            <rFont val="Tahoma"/>
            <family val="2"/>
          </rPr>
          <t>user:</t>
        </r>
        <r>
          <rPr>
            <sz val="9"/>
            <color indexed="81"/>
            <rFont val="Tahoma"/>
            <family val="2"/>
          </rPr>
          <t xml:space="preserve">
 Animha</t>
        </r>
      </text>
    </comment>
    <comment ref="J140" authorId="0" shapeId="0">
      <text>
        <r>
          <rPr>
            <b/>
            <sz val="9"/>
            <color indexed="81"/>
            <rFont val="Tahoma"/>
            <family val="2"/>
          </rPr>
          <t>user:</t>
        </r>
        <r>
          <rPr>
            <sz val="9"/>
            <color indexed="81"/>
            <rFont val="Tahoma"/>
            <family val="2"/>
          </rPr>
          <t xml:space="preserve">
Wini Liin</t>
        </r>
      </text>
    </comment>
    <comment ref="J141" authorId="0" shapeId="0">
      <text>
        <r>
          <rPr>
            <b/>
            <sz val="9"/>
            <color indexed="81"/>
            <rFont val="Tahoma"/>
            <family val="2"/>
          </rPr>
          <t>user:</t>
        </r>
        <r>
          <rPr>
            <sz val="9"/>
            <color indexed="81"/>
            <rFont val="Tahoma"/>
            <family val="2"/>
          </rPr>
          <t xml:space="preserve">
Simpanan Mana</t>
        </r>
      </text>
    </comment>
    <comment ref="J142" authorId="0" shapeId="0">
      <text>
        <r>
          <rPr>
            <b/>
            <sz val="9"/>
            <color indexed="81"/>
            <rFont val="Tahoma"/>
            <family val="2"/>
          </rPr>
          <t>user:</t>
        </r>
        <r>
          <rPr>
            <sz val="9"/>
            <color indexed="81"/>
            <rFont val="Tahoma"/>
            <family val="2"/>
          </rPr>
          <t xml:space="preserve">
Jagona</t>
        </r>
      </text>
    </comment>
    <comment ref="J143" authorId="0" shapeId="0">
      <text>
        <r>
          <rPr>
            <b/>
            <sz val="9"/>
            <color indexed="81"/>
            <rFont val="Tahoma"/>
            <family val="2"/>
          </rPr>
          <t>user:</t>
        </r>
        <r>
          <rPr>
            <sz val="9"/>
            <color indexed="81"/>
            <rFont val="Tahoma"/>
            <family val="2"/>
          </rPr>
          <t xml:space="preserve">
Wini</t>
        </r>
      </text>
    </comment>
    <comment ref="J144" authorId="0" shapeId="0">
      <text>
        <r>
          <rPr>
            <b/>
            <sz val="9"/>
            <color indexed="81"/>
            <rFont val="Tahoma"/>
            <family val="2"/>
          </rPr>
          <t>user:</t>
        </r>
        <r>
          <rPr>
            <sz val="9"/>
            <color indexed="81"/>
            <rFont val="Tahoma"/>
            <family val="2"/>
          </rPr>
          <t xml:space="preserve">
SISARON</t>
        </r>
      </text>
    </comment>
    <comment ref="J145" authorId="0" shapeId="0">
      <text>
        <r>
          <rPr>
            <b/>
            <sz val="9"/>
            <color indexed="81"/>
            <rFont val="Tahoma"/>
            <family val="2"/>
          </rPr>
          <t>user:</t>
        </r>
        <r>
          <rPr>
            <sz val="9"/>
            <color indexed="81"/>
            <rFont val="Tahoma"/>
            <family val="2"/>
          </rPr>
          <t xml:space="preserve">
FINI</t>
        </r>
      </text>
    </comment>
    <comment ref="J146" authorId="0" shapeId="0">
      <text>
        <r>
          <rPr>
            <b/>
            <sz val="9"/>
            <color indexed="81"/>
            <rFont val="Tahoma"/>
            <family val="2"/>
          </rPr>
          <t>user:</t>
        </r>
        <r>
          <rPr>
            <sz val="9"/>
            <color indexed="81"/>
            <rFont val="Tahoma"/>
            <family val="2"/>
          </rPr>
          <t xml:space="preserve">
Prima Investa</t>
        </r>
      </text>
    </comment>
    <comment ref="J147" authorId="0" shapeId="0">
      <text>
        <r>
          <rPr>
            <b/>
            <sz val="9"/>
            <color indexed="81"/>
            <rFont val="Tahoma"/>
            <family val="2"/>
          </rPr>
          <t>user:</t>
        </r>
        <r>
          <rPr>
            <sz val="9"/>
            <color indexed="81"/>
            <rFont val="Tahoma"/>
            <family val="2"/>
          </rPr>
          <t xml:space="preserve">
DUSUN</t>
        </r>
      </text>
    </comment>
    <comment ref="J148" authorId="0" shapeId="0">
      <text>
        <r>
          <rPr>
            <b/>
            <sz val="9"/>
            <color indexed="81"/>
            <rFont val="Tahoma"/>
            <family val="2"/>
          </rPr>
          <t>user:</t>
        </r>
        <r>
          <rPr>
            <sz val="9"/>
            <color indexed="81"/>
            <rFont val="Tahoma"/>
            <family val="2"/>
          </rPr>
          <t xml:space="preserve">
SEHATI</t>
        </r>
      </text>
    </comment>
    <comment ref="J149" authorId="0" shapeId="0">
      <text>
        <r>
          <rPr>
            <b/>
            <sz val="9"/>
            <color indexed="81"/>
            <rFont val="Tahoma"/>
            <family val="2"/>
          </rPr>
          <t>user:</t>
        </r>
        <r>
          <rPr>
            <sz val="9"/>
            <color indexed="81"/>
            <rFont val="Tahoma"/>
            <family val="2"/>
          </rPr>
          <t xml:space="preserve">
Simpanan Okop Ese</t>
        </r>
      </text>
    </comment>
    <comment ref="J150" authorId="0" shapeId="0">
      <text>
        <r>
          <rPr>
            <b/>
            <sz val="9"/>
            <color indexed="81"/>
            <rFont val="Tahoma"/>
            <family val="2"/>
          </rPr>
          <t>user:</t>
        </r>
        <r>
          <rPr>
            <sz val="9"/>
            <color indexed="81"/>
            <rFont val="Tahoma"/>
            <family val="2"/>
          </rPr>
          <t xml:space="preserve">
Simpanan Winni</t>
        </r>
      </text>
    </comment>
    <comment ref="J151" authorId="0" shapeId="0">
      <text>
        <r>
          <rPr>
            <b/>
            <sz val="9"/>
            <color indexed="81"/>
            <rFont val="Tahoma"/>
            <family val="2"/>
          </rPr>
          <t>user:</t>
        </r>
        <r>
          <rPr>
            <sz val="9"/>
            <color indexed="81"/>
            <rFont val="Tahoma"/>
            <family val="2"/>
          </rPr>
          <t xml:space="preserve">
Tampan</t>
        </r>
      </text>
    </comment>
    <comment ref="J152" authorId="0" shapeId="0">
      <text>
        <r>
          <rPr>
            <b/>
            <sz val="9"/>
            <color indexed="81"/>
            <rFont val="Tahoma"/>
            <family val="2"/>
          </rPr>
          <t>user:</t>
        </r>
        <r>
          <rPr>
            <sz val="9"/>
            <color indexed="81"/>
            <rFont val="Tahoma"/>
            <family val="2"/>
          </rPr>
          <t xml:space="preserve">
SIMANIS</t>
        </r>
      </text>
    </comment>
    <comment ref="L152" authorId="0" shapeId="0">
      <text>
        <r>
          <rPr>
            <b/>
            <sz val="9"/>
            <color indexed="81"/>
            <rFont val="Tahoma"/>
            <family val="2"/>
          </rPr>
          <t>user:</t>
        </r>
        <r>
          <rPr>
            <sz val="9"/>
            <color indexed="81"/>
            <rFont val="Tahoma"/>
            <family val="2"/>
          </rPr>
          <t xml:space="preserve">
ada piutang selain ke bkcuk</t>
        </r>
      </text>
    </comment>
  </commentList>
</comments>
</file>

<file path=xl/sharedStrings.xml><?xml version="1.0" encoding="utf-8"?>
<sst xmlns="http://schemas.openxmlformats.org/spreadsheetml/2006/main" count="22" uniqueCount="22">
  <si>
    <t>nama cu</t>
  </si>
  <si>
    <t>no_ba</t>
  </si>
  <si>
    <t>l_biasa</t>
  </si>
  <si>
    <t>l_lbiasa</t>
  </si>
  <si>
    <t>p_biasa</t>
  </si>
  <si>
    <t>p_lbiasa</t>
  </si>
  <si>
    <t>aktivalancar</t>
  </si>
  <si>
    <t>simpanansaham</t>
  </si>
  <si>
    <t>nonsaham_unggulan</t>
  </si>
  <si>
    <t>nonsaham_harian</t>
  </si>
  <si>
    <t>hutangspd</t>
  </si>
  <si>
    <t>piutangberedar</t>
  </si>
  <si>
    <t>piutanglalai_1bulan</t>
  </si>
  <si>
    <t>piutanglalai_12bulan</t>
  </si>
  <si>
    <t>dcr</t>
  </si>
  <si>
    <t>dcu</t>
  </si>
  <si>
    <t>totalpendapatan</t>
  </si>
  <si>
    <t>totalbiaya</t>
  </si>
  <si>
    <t>shu</t>
  </si>
  <si>
    <t>aset</t>
  </si>
  <si>
    <t>periode</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</si>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</sst>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1" formatCode="_(* #,##0_);_(* \(#,##0\);_(* &quot;-&quot;_);_(@_)"/>
    <numFmt numFmtId="43" formatCode="_(* #,##0.00_);_(* \(#,##0.00\);_(* &quot;-&quot;??_);_(@_)"/>
    <numFmt numFmtId="164" formatCode="_(* #,##0_);_(* \(#,##0\);_(* &quot;-&quot;??_);_(@_)"/>
    <numFmt numFmtId="165" formatCode="&quot;Rp&quot;#,##0_);\(&quot;Rp&quot;#,##0\)"/>
    <numFmt numFmtId="166" formatCode="0;[Red]0"/>
    <numFmt numFmtId="167" formatCode="_ * #,##0_ ;_ * \-#,##0_ ;_ * &quot;-&quot;_ ;_ @_ "/>
    <numFmt numFmtId="168" formatCode="_(* #,##0_);_(* \(#,##0\);_(* \-??_);_(@_)"/>
    <numFmt numFmtId="169" formatCode="_(* #,##0_);_(* \(#,##0\);_(* \-_);_(@_)"/>
    <numFmt numFmtId="170" formatCode="_([$Rp-421]* #,##0_);_([$Rp-421]* \(#,##0\);_([$Rp-421]* &quot;-&quot;_);_(@_)"/>
    <numFmt numFmtId="171" formatCode="_(* #,##0_);[Red]_(* \(#,##0\);_(* &quot;-&quot;_);_(@_)"/>
    <numFmt numFmtId="172" formatCode="dd/mm/yyyy;@"/>
    <numFmt numFmtId="173" formatCode="d/mm/yyyy;@"/>
  </numFmts>
  <fonts count="13" x14ac:knownFonts="1">
    <font>
      <sz val="11"/>
      <color theme="1"/>
      <name val="Calibri"/>
      <family val="2"/>
      <scheme val="minor"/>
    </font>
    <font>
      <b/>
      <sz val="11"/>
      <color theme="1"/>
      <name val="Calibri"/>
      <family val="2"/>
      <scheme val="minor"/>
    </font>
    <font>
      <sz val="11"/>
      <color theme="1"/>
      <name val="Calibri"/>
      <family val="2"/>
      <scheme val="minor"/>
    </font>
    <font>
      <sz val="10"/>
      <color theme="1"/>
      <name val="Times New Roman"/>
      <family val="1"/>
    </font>
    <font>
      <sz val="10"/>
      <color rgb="FFFF0000"/>
      <name val="Times New Roman"/>
      <family val="1"/>
    </font>
    <font>
      <sz val="10"/>
      <name val="Times New Roman"/>
      <family val="1"/>
    </font>
    <font>
      <sz val="11"/>
      <color theme="1"/>
      <name val="Calibri"/>
      <family val="2"/>
      <charset val="1"/>
      <scheme val="minor"/>
    </font>
    <font>
      <sz val="10"/>
      <name val="Arial"/>
      <family val="2"/>
    </font>
    <font>
      <sz val="10"/>
      <color theme="1"/>
      <name val="Calibri Light"/>
      <family val="1"/>
      <scheme val="major"/>
    </font>
    <font>
      <sz val="10"/>
      <color theme="1"/>
      <name val="Arial"/>
      <family val="2"/>
    </font>
    <font>
      <b/>
      <sz val="9"/>
      <color indexed="81"/>
      <name val="Tahoma"/>
      <family val="2"/>
    </font>
    <font>
      <sz val="9"/>
      <color indexed="81"/>
      <name val="Tahoma"/>
      <family val="2"/>
    </font>
    <font>
      <sz val="10"/>
      <name val="Calibri Light"/>
      <family val="1"/>
      <scheme val="maj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64"/>
      </left>
      <right style="double">
        <color indexed="64"/>
      </right>
      <top/>
      <bottom/>
      <diagonal/>
    </border>
  </borders>
  <cellStyleXfs count="7">
    <xf numFmtId="0" fontId="0" fillId="0" borderId="0"/>
    <xf numFmtId="43" fontId="2" fillId="0" borderId="0" applyFont="0" applyFill="0" applyBorder="0" applyAlignment="0" applyProtection="0"/>
    <xf numFmtId="41" fontId="2" fillId="0" borderId="0" applyFont="0" applyFill="0" applyBorder="0" applyAlignment="0" applyProtection="0"/>
    <xf numFmtId="9" fontId="2" fillId="0" borderId="0" applyFont="0" applyFill="0" applyBorder="0" applyAlignment="0" applyProtection="0"/>
    <xf numFmtId="41" fontId="7" fillId="0" borderId="0" applyFont="0" applyFill="0" applyBorder="0" applyAlignment="0" applyProtection="0"/>
    <xf numFmtId="170" fontId="7" fillId="0" borderId="0"/>
    <xf numFmtId="43" fontId="7" fillId="0" borderId="0" applyFont="0" applyFill="0" applyBorder="0" applyAlignment="0" applyProtection="0"/>
  </cellStyleXfs>
  <cellXfs count="113">
    <xf numFmtId="0" fontId="0" fillId="0" borderId="0" xfId="0"/>
    <xf numFmtId="0" fontId="1" fillId="0" borderId="0" xfId="0" applyFont="1"/>
    <xf numFmtId="0" fontId="3" fillId="0" borderId="1" xfId="0" applyFont="1" applyFill="1" applyBorder="1" applyAlignment="1">
      <alignment horizontal="center"/>
    </xf>
    <xf numFmtId="0" fontId="3" fillId="0" borderId="1" xfId="0" applyFont="1" applyFill="1" applyBorder="1" applyAlignment="1">
      <alignment horizontal="center" vertical="top"/>
    </xf>
    <xf numFmtId="0" fontId="3" fillId="3" borderId="1" xfId="0" applyFont="1" applyFill="1" applyBorder="1" applyAlignment="1">
      <alignment horizontal="center"/>
    </xf>
    <xf numFmtId="0" fontId="5" fillId="0" borderId="1" xfId="0" applyFont="1" applyFill="1" applyBorder="1" applyAlignment="1">
      <alignment horizontal="center"/>
    </xf>
    <xf numFmtId="0" fontId="3" fillId="3" borderId="1" xfId="0" applyFont="1" applyFill="1" applyBorder="1" applyAlignment="1">
      <alignment horizontal="center" vertical="top"/>
    </xf>
    <xf numFmtId="41" fontId="3" fillId="0" borderId="1" xfId="2" applyFont="1" applyFill="1" applyBorder="1"/>
    <xf numFmtId="39" fontId="3" fillId="0" borderId="1" xfId="2" applyNumberFormat="1" applyFont="1" applyFill="1" applyBorder="1" applyAlignment="1">
      <alignment vertical="center" wrapText="1"/>
    </xf>
    <xf numFmtId="164" fontId="3" fillId="0" borderId="1" xfId="2" applyNumberFormat="1" applyFont="1" applyFill="1" applyBorder="1"/>
    <xf numFmtId="41" fontId="3" fillId="3" borderId="1" xfId="2" applyFont="1" applyFill="1" applyBorder="1"/>
    <xf numFmtId="41" fontId="3" fillId="0" borderId="1" xfId="2" applyFont="1" applyFill="1" applyBorder="1" applyAlignment="1"/>
    <xf numFmtId="164" fontId="3" fillId="0" borderId="1" xfId="2" applyNumberFormat="1" applyFont="1" applyFill="1" applyBorder="1" applyAlignment="1">
      <alignment vertical="top"/>
    </xf>
    <xf numFmtId="41" fontId="3" fillId="0" borderId="1" xfId="2" applyFont="1" applyFill="1" applyBorder="1" applyAlignment="1">
      <alignment vertical="top"/>
    </xf>
    <xf numFmtId="41" fontId="3" fillId="3" borderId="1" xfId="2" applyFont="1" applyFill="1" applyBorder="1" applyAlignment="1"/>
    <xf numFmtId="0" fontId="3" fillId="3" borderId="1" xfId="2" applyNumberFormat="1" applyFont="1" applyFill="1" applyBorder="1"/>
    <xf numFmtId="3" fontId="3" fillId="3" borderId="1" xfId="2" applyNumberFormat="1" applyFont="1" applyFill="1" applyBorder="1"/>
    <xf numFmtId="165" fontId="3" fillId="3" borderId="1" xfId="2" applyNumberFormat="1" applyFont="1" applyFill="1" applyBorder="1"/>
    <xf numFmtId="37" fontId="3" fillId="3" borderId="1" xfId="2" applyNumberFormat="1" applyFont="1" applyFill="1" applyBorder="1"/>
    <xf numFmtId="0" fontId="3" fillId="0" borderId="1" xfId="2" applyNumberFormat="1" applyFont="1" applyFill="1" applyBorder="1" applyAlignment="1">
      <alignment vertical="top"/>
    </xf>
    <xf numFmtId="41" fontId="4" fillId="0" borderId="1" xfId="2" applyFont="1" applyFill="1" applyBorder="1" applyAlignment="1">
      <alignment vertical="top"/>
    </xf>
    <xf numFmtId="39" fontId="3" fillId="0" borderId="1" xfId="2" applyNumberFormat="1" applyFont="1" applyFill="1" applyBorder="1" applyAlignment="1">
      <alignment vertical="top"/>
    </xf>
    <xf numFmtId="41" fontId="4" fillId="3" borderId="1" xfId="2" applyFont="1" applyFill="1" applyBorder="1" applyAlignment="1">
      <alignment vertical="top"/>
    </xf>
    <xf numFmtId="3" fontId="3" fillId="0" borderId="1" xfId="2" applyNumberFormat="1" applyFont="1" applyFill="1" applyBorder="1" applyAlignment="1">
      <alignment vertical="top"/>
    </xf>
    <xf numFmtId="38" fontId="0" fillId="0" borderId="0" xfId="0" applyNumberFormat="1" applyFont="1" applyAlignment="1">
      <alignment vertical="top"/>
    </xf>
    <xf numFmtId="38" fontId="3" fillId="0" borderId="1" xfId="2" applyNumberFormat="1" applyFont="1" applyFill="1" applyBorder="1" applyAlignment="1">
      <alignment vertical="top"/>
    </xf>
    <xf numFmtId="43" fontId="3" fillId="0" borderId="1" xfId="2" applyNumberFormat="1" applyFont="1" applyFill="1" applyBorder="1" applyAlignment="1">
      <alignment vertical="top"/>
    </xf>
    <xf numFmtId="41" fontId="4" fillId="0" borderId="1" xfId="2" applyFont="1" applyFill="1" applyBorder="1"/>
    <xf numFmtId="164" fontId="5" fillId="0" borderId="1" xfId="2" applyNumberFormat="1" applyFont="1" applyFill="1" applyBorder="1"/>
    <xf numFmtId="41" fontId="5" fillId="0" borderId="1" xfId="2" applyFont="1" applyFill="1" applyBorder="1"/>
    <xf numFmtId="37" fontId="5" fillId="0" borderId="1" xfId="2" applyNumberFormat="1" applyFont="1" applyFill="1" applyBorder="1"/>
    <xf numFmtId="41" fontId="3" fillId="3" borderId="1" xfId="2" applyFont="1" applyFill="1" applyBorder="1" applyAlignment="1">
      <alignment vertical="top"/>
    </xf>
    <xf numFmtId="164" fontId="3" fillId="3" borderId="1" xfId="2" applyNumberFormat="1" applyFont="1" applyFill="1" applyBorder="1" applyAlignment="1">
      <alignment vertical="top"/>
    </xf>
    <xf numFmtId="41" fontId="3" fillId="3" borderId="1" xfId="2" applyFont="1" applyFill="1" applyBorder="1" applyAlignment="1">
      <alignment vertical="center" wrapText="1"/>
    </xf>
    <xf numFmtId="0" fontId="3" fillId="3" borderId="1" xfId="2" applyNumberFormat="1" applyFont="1" applyFill="1" applyBorder="1" applyAlignment="1">
      <alignment vertical="top"/>
    </xf>
    <xf numFmtId="164" fontId="4" fillId="3" borderId="1" xfId="2" applyNumberFormat="1" applyFont="1" applyFill="1" applyBorder="1" applyAlignment="1">
      <alignment vertical="top"/>
    </xf>
    <xf numFmtId="41" fontId="3" fillId="3" borderId="2" xfId="4" applyNumberFormat="1" applyFont="1" applyFill="1" applyBorder="1" applyAlignment="1">
      <alignment vertical="top"/>
    </xf>
    <xf numFmtId="0" fontId="3" fillId="0" borderId="1" xfId="2" applyNumberFormat="1" applyFont="1" applyFill="1" applyBorder="1"/>
    <xf numFmtId="3" fontId="3" fillId="0" borderId="1" xfId="2" applyNumberFormat="1" applyFont="1" applyFill="1" applyBorder="1"/>
    <xf numFmtId="166" fontId="3" fillId="3" borderId="1" xfId="2" applyNumberFormat="1" applyFont="1" applyFill="1" applyBorder="1"/>
    <xf numFmtId="43" fontId="3" fillId="3" borderId="1" xfId="2" applyNumberFormat="1" applyFont="1" applyFill="1" applyBorder="1" applyAlignment="1"/>
    <xf numFmtId="167" fontId="3" fillId="3" borderId="1" xfId="2" applyNumberFormat="1" applyFont="1" applyFill="1" applyBorder="1"/>
    <xf numFmtId="164" fontId="3" fillId="3" borderId="1" xfId="2" applyNumberFormat="1" applyFont="1" applyFill="1" applyBorder="1"/>
    <xf numFmtId="3" fontId="3" fillId="3" borderId="1" xfId="2" applyNumberFormat="1" applyFont="1" applyFill="1" applyBorder="1" applyAlignment="1">
      <alignment vertical="top"/>
    </xf>
    <xf numFmtId="41" fontId="4" fillId="3" borderId="1" xfId="2" applyFont="1" applyFill="1" applyBorder="1"/>
    <xf numFmtId="0" fontId="4" fillId="3" borderId="1" xfId="2" applyNumberFormat="1" applyFont="1" applyFill="1" applyBorder="1"/>
    <xf numFmtId="164" fontId="4" fillId="3" borderId="1" xfId="2" applyNumberFormat="1" applyFont="1" applyFill="1" applyBorder="1"/>
    <xf numFmtId="164" fontId="8" fillId="0" borderId="1" xfId="1" applyNumberFormat="1" applyFont="1" applyFill="1" applyBorder="1" applyAlignment="1">
      <alignment vertical="top"/>
    </xf>
    <xf numFmtId="37" fontId="3" fillId="0" borderId="1" xfId="2" applyNumberFormat="1" applyFont="1" applyFill="1" applyBorder="1" applyAlignment="1">
      <alignment vertical="top"/>
    </xf>
    <xf numFmtId="41" fontId="3" fillId="0" borderId="1" xfId="3" applyNumberFormat="1" applyFont="1" applyFill="1" applyBorder="1"/>
    <xf numFmtId="41" fontId="3" fillId="0" borderId="1" xfId="0" applyNumberFormat="1" applyFont="1" applyFill="1" applyBorder="1" applyAlignment="1"/>
    <xf numFmtId="168" fontId="3" fillId="0" borderId="1" xfId="2" applyNumberFormat="1" applyFont="1" applyFill="1" applyBorder="1"/>
    <xf numFmtId="169" fontId="3" fillId="0" borderId="1" xfId="2" applyNumberFormat="1" applyFont="1" applyFill="1" applyBorder="1"/>
    <xf numFmtId="168" fontId="3" fillId="0" borderId="3" xfId="4" applyNumberFormat="1" applyFont="1" applyFill="1" applyBorder="1"/>
    <xf numFmtId="0" fontId="7" fillId="0" borderId="1" xfId="5" applyNumberFormat="1" applyBorder="1"/>
    <xf numFmtId="41" fontId="5" fillId="3" borderId="1" xfId="2" applyFont="1" applyFill="1" applyBorder="1"/>
    <xf numFmtId="3" fontId="5" fillId="0" borderId="1" xfId="2" applyNumberFormat="1" applyFont="1" applyFill="1" applyBorder="1"/>
    <xf numFmtId="164" fontId="9" fillId="0" borderId="1" xfId="6" applyNumberFormat="1" applyFont="1" applyBorder="1" applyAlignment="1">
      <alignment vertical="top"/>
    </xf>
    <xf numFmtId="0" fontId="5" fillId="3" borderId="1" xfId="0" applyFont="1" applyFill="1" applyBorder="1" applyAlignment="1">
      <alignment horizontal="center" vertical="top"/>
    </xf>
    <xf numFmtId="164" fontId="4" fillId="0" borderId="1" xfId="2" applyNumberFormat="1" applyFont="1" applyFill="1" applyBorder="1" applyAlignment="1">
      <alignment vertical="top"/>
    </xf>
    <xf numFmtId="41" fontId="3" fillId="0" borderId="1" xfId="2" applyNumberFormat="1" applyFont="1" applyFill="1" applyBorder="1" applyAlignment="1">
      <alignment vertical="top"/>
    </xf>
    <xf numFmtId="37" fontId="3" fillId="0" borderId="1" xfId="2" applyNumberFormat="1" applyFont="1" applyFill="1" applyBorder="1"/>
    <xf numFmtId="0" fontId="4" fillId="3" borderId="1" xfId="2" applyNumberFormat="1" applyFont="1" applyFill="1" applyBorder="1" applyAlignment="1">
      <alignment vertical="top"/>
    </xf>
    <xf numFmtId="41" fontId="5" fillId="0" borderId="1" xfId="2" applyFont="1" applyFill="1" applyBorder="1" applyAlignment="1">
      <alignment vertical="top"/>
    </xf>
    <xf numFmtId="164" fontId="5" fillId="0" borderId="1" xfId="2" applyNumberFormat="1" applyFont="1" applyFill="1" applyBorder="1" applyAlignment="1">
      <alignment vertical="top"/>
    </xf>
    <xf numFmtId="41" fontId="5" fillId="3" borderId="1" xfId="2" applyFont="1" applyFill="1" applyBorder="1" applyAlignment="1">
      <alignment vertical="top"/>
    </xf>
    <xf numFmtId="166" fontId="4" fillId="3" borderId="1" xfId="2" applyNumberFormat="1" applyFont="1" applyFill="1" applyBorder="1"/>
    <xf numFmtId="41" fontId="3" fillId="3" borderId="1" xfId="2" applyNumberFormat="1" applyFont="1" applyFill="1" applyBorder="1"/>
    <xf numFmtId="164" fontId="8" fillId="0" borderId="1" xfId="1" applyNumberFormat="1" applyFont="1" applyFill="1" applyBorder="1" applyAlignment="1">
      <alignment vertical="center"/>
    </xf>
    <xf numFmtId="37" fontId="3" fillId="3" borderId="1" xfId="2" applyNumberFormat="1" applyFont="1" applyFill="1" applyBorder="1" applyAlignment="1">
      <alignment vertical="top"/>
    </xf>
    <xf numFmtId="164" fontId="3" fillId="0" borderId="1" xfId="0" applyNumberFormat="1" applyFont="1" applyFill="1" applyBorder="1" applyAlignment="1"/>
    <xf numFmtId="164" fontId="3" fillId="0" borderId="1" xfId="2" applyNumberFormat="1" applyFont="1" applyFill="1" applyBorder="1" applyAlignment="1"/>
    <xf numFmtId="164" fontId="9" fillId="0" borderId="1" xfId="6" applyNumberFormat="1" applyFont="1" applyBorder="1"/>
    <xf numFmtId="0" fontId="4" fillId="0" borderId="1" xfId="0" applyFont="1" applyFill="1" applyBorder="1" applyAlignment="1">
      <alignment horizontal="center"/>
    </xf>
    <xf numFmtId="41" fontId="3" fillId="2" borderId="1" xfId="2" applyFont="1" applyFill="1" applyBorder="1"/>
    <xf numFmtId="3" fontId="6" fillId="0" borderId="0" xfId="0" applyNumberFormat="1" applyFont="1"/>
    <xf numFmtId="39" fontId="3" fillId="0" borderId="1" xfId="2" applyNumberFormat="1" applyFont="1" applyFill="1" applyBorder="1"/>
    <xf numFmtId="171" fontId="3" fillId="3" borderId="1" xfId="2" applyNumberFormat="1" applyFont="1" applyFill="1" applyBorder="1"/>
    <xf numFmtId="41" fontId="3" fillId="3" borderId="2" xfId="4" applyNumberFormat="1" applyFont="1" applyFill="1" applyBorder="1"/>
    <xf numFmtId="37" fontId="3" fillId="3" borderId="1" xfId="2" applyNumberFormat="1" applyFont="1" applyFill="1" applyBorder="1" applyAlignment="1"/>
    <xf numFmtId="4" fontId="3" fillId="3" borderId="1" xfId="2" applyNumberFormat="1" applyFont="1" applyFill="1" applyBorder="1" applyAlignment="1"/>
    <xf numFmtId="43" fontId="3" fillId="0" borderId="1" xfId="2" applyNumberFormat="1" applyFont="1" applyFill="1" applyBorder="1"/>
    <xf numFmtId="41" fontId="3" fillId="0" borderId="3" xfId="4" applyFont="1" applyFill="1" applyBorder="1"/>
    <xf numFmtId="0" fontId="5" fillId="3" borderId="1" xfId="0" applyFont="1" applyFill="1" applyBorder="1" applyAlignment="1">
      <alignment horizontal="center"/>
    </xf>
    <xf numFmtId="41" fontId="5" fillId="0" borderId="1" xfId="2" applyFont="1" applyFill="1" applyBorder="1" applyAlignment="1"/>
    <xf numFmtId="37" fontId="5" fillId="0" borderId="1" xfId="2" applyNumberFormat="1" applyFont="1" applyFill="1" applyBorder="1" applyAlignment="1">
      <alignment vertical="center" wrapText="1"/>
    </xf>
    <xf numFmtId="39" fontId="0" fillId="0" borderId="0" xfId="0" applyNumberFormat="1"/>
    <xf numFmtId="164" fontId="5" fillId="3" borderId="1" xfId="2" applyNumberFormat="1" applyFont="1" applyFill="1" applyBorder="1"/>
    <xf numFmtId="164" fontId="3" fillId="3" borderId="1" xfId="2" applyNumberFormat="1" applyFont="1" applyFill="1" applyBorder="1" applyAlignment="1"/>
    <xf numFmtId="3" fontId="5" fillId="3" borderId="1" xfId="2" applyNumberFormat="1" applyFont="1" applyFill="1" applyBorder="1"/>
    <xf numFmtId="3" fontId="5" fillId="3" borderId="1" xfId="2" applyNumberFormat="1" applyFont="1" applyFill="1" applyBorder="1" applyAlignment="1"/>
    <xf numFmtId="0" fontId="5" fillId="0" borderId="1" xfId="2" applyNumberFormat="1" applyFont="1" applyFill="1" applyBorder="1"/>
    <xf numFmtId="166" fontId="5" fillId="3" borderId="1" xfId="2" applyNumberFormat="1" applyFont="1" applyFill="1" applyBorder="1"/>
    <xf numFmtId="4" fontId="5" fillId="3" borderId="1" xfId="2" applyNumberFormat="1" applyFont="1" applyFill="1" applyBorder="1" applyAlignment="1"/>
    <xf numFmtId="43" fontId="5" fillId="3" borderId="1" xfId="2" applyNumberFormat="1" applyFont="1" applyFill="1" applyBorder="1" applyAlignment="1"/>
    <xf numFmtId="167" fontId="5" fillId="3" borderId="1" xfId="2" applyNumberFormat="1" applyFont="1" applyFill="1" applyBorder="1"/>
    <xf numFmtId="41" fontId="8" fillId="0" borderId="1" xfId="1" applyNumberFormat="1" applyFont="1" applyFill="1" applyBorder="1" applyAlignment="1">
      <alignment vertical="center"/>
    </xf>
    <xf numFmtId="167" fontId="3" fillId="0" borderId="1" xfId="2" applyNumberFormat="1" applyFont="1" applyFill="1" applyBorder="1"/>
    <xf numFmtId="164" fontId="7" fillId="0" borderId="1" xfId="6" applyNumberFormat="1" applyFont="1" applyBorder="1"/>
    <xf numFmtId="172" fontId="5" fillId="0" borderId="1" xfId="2" applyNumberFormat="1" applyFont="1" applyFill="1" applyBorder="1" applyAlignment="1">
      <alignment horizontal="right"/>
    </xf>
    <xf numFmtId="41" fontId="5" fillId="0" borderId="3" xfId="4" applyNumberFormat="1" applyFont="1" applyFill="1" applyBorder="1"/>
    <xf numFmtId="164" fontId="12" fillId="0" borderId="1" xfId="1" applyNumberFormat="1" applyFont="1" applyFill="1" applyBorder="1" applyAlignment="1">
      <alignment vertical="center"/>
    </xf>
    <xf numFmtId="41" fontId="5" fillId="0" borderId="1" xfId="0" applyNumberFormat="1" applyFont="1" applyFill="1" applyBorder="1" applyAlignment="1"/>
    <xf numFmtId="173" fontId="3" fillId="0" borderId="1" xfId="2" applyNumberFormat="1" applyFont="1" applyFill="1" applyBorder="1" applyAlignment="1">
      <alignment horizontal="right"/>
    </xf>
    <xf numFmtId="173" fontId="3" fillId="0" borderId="1" xfId="2" applyNumberFormat="1" applyFont="1" applyFill="1" applyBorder="1" applyAlignment="1">
      <alignment horizontal="right" vertical="top"/>
    </xf>
    <xf numFmtId="173" fontId="3" fillId="3" borderId="1" xfId="2" applyNumberFormat="1" applyFont="1" applyFill="1" applyBorder="1" applyAlignment="1">
      <alignment horizontal="right"/>
    </xf>
    <xf numFmtId="173" fontId="5" fillId="0" borderId="1" xfId="2" applyNumberFormat="1" applyFont="1" applyFill="1" applyBorder="1" applyAlignment="1">
      <alignment horizontal="right"/>
    </xf>
    <xf numFmtId="173" fontId="3" fillId="3" borderId="1" xfId="2" applyNumberFormat="1" applyFont="1" applyFill="1" applyBorder="1" applyAlignment="1">
      <alignment horizontal="right" vertical="top"/>
    </xf>
    <xf numFmtId="173" fontId="5" fillId="3" borderId="1" xfId="2" applyNumberFormat="1" applyFont="1" applyFill="1" applyBorder="1" applyAlignment="1">
      <alignment horizontal="right" vertical="top"/>
    </xf>
    <xf numFmtId="173" fontId="5" fillId="3" borderId="1" xfId="2" applyNumberFormat="1" applyFont="1" applyFill="1" applyBorder="1" applyAlignment="1">
      <alignment horizontal="right"/>
    </xf>
    <xf numFmtId="172" fontId="4" fillId="0" borderId="1" xfId="2" applyNumberFormat="1" applyFont="1" applyFill="1" applyBorder="1" applyAlignment="1">
      <alignment horizontal="right"/>
    </xf>
    <xf numFmtId="41" fontId="4" fillId="0" borderId="1" xfId="2" applyFont="1" applyFill="1" applyBorder="1" applyAlignment="1"/>
    <xf numFmtId="172" fontId="5" fillId="2" borderId="1" xfId="2" applyNumberFormat="1" applyFont="1" applyFill="1" applyBorder="1" applyAlignment="1">
      <alignment horizontal="right"/>
    </xf>
  </cellXfs>
  <cellStyles count="7">
    <cellStyle name="Comma" xfId="1" builtinId="3"/>
    <cellStyle name="Comma [0]" xfId="2" builtinId="6"/>
    <cellStyle name="Comma [0] 2" xfId="4"/>
    <cellStyle name="Comma 2" xfId="6"/>
    <cellStyle name="Normal" xfId="0" builtinId="0"/>
    <cellStyle name="Normal 36" xfId="5"/>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314"/>
  <sheetViews>
    <sheetView tabSelected="1" zoomScale="145" zoomScaleNormal="145" workbookViewId="0">
      <selection activeCell="U274" sqref="U274"/>
    </sheetView>
  </sheetViews>
  <sheetFormatPr defaultRowHeight="15" x14ac:dyDescent="0.25"/>
  <cols>
    <col min="6" max="6" width="8.28515625" bestFit="1" customWidth="1"/>
    <col min="7" max="7" width="16.5703125" bestFit="1" customWidth="1"/>
    <col min="8" max="8" width="14.28515625" bestFit="1" customWidth="1"/>
    <col min="9" max="9" width="15.42578125" bestFit="1" customWidth="1"/>
    <col min="10" max="10" width="19.5703125" bestFit="1" customWidth="1"/>
    <col min="11" max="11" width="23.85546875" bestFit="1" customWidth="1"/>
    <col min="12" max="12" width="30.140625" bestFit="1" customWidth="1"/>
    <col min="13" max="13" width="14.85546875" bestFit="1" customWidth="1"/>
    <col min="14" max="14" width="15.42578125" bestFit="1" customWidth="1"/>
    <col min="15" max="15" width="19.85546875" bestFit="1" customWidth="1"/>
    <col min="16" max="16" width="19.5703125" bestFit="1" customWidth="1"/>
    <col min="17" max="17" width="16.85546875" bestFit="1" customWidth="1"/>
    <col min="18" max="18" width="15.85546875" bestFit="1" customWidth="1"/>
    <col min="19" max="19" width="28.28515625" bestFit="1" customWidth="1"/>
    <col min="20" max="20" width="14.85546875" bestFit="1" customWidth="1"/>
    <col min="21" max="21" width="23.85546875" bestFit="1" customWidth="1"/>
    <col min="22" max="22" width="18.7109375" bestFit="1" customWidth="1"/>
    <col min="23" max="23" width="19.7109375" bestFit="1" customWidth="1"/>
    <col min="26" max="26" width="18.42578125" bestFit="1" customWidth="1"/>
    <col min="27" max="27" width="13.28515625" bestFit="1" customWidth="1"/>
    <col min="28" max="28" width="6.85546875" bestFit="1" customWidth="1"/>
    <col min="29" max="29" width="10.28515625" bestFit="1" customWidth="1"/>
    <col min="30" max="30" width="18.28515625" bestFit="1" customWidth="1"/>
    <col min="31" max="31" width="15" bestFit="1" customWidth="1"/>
    <col min="32" max="32" width="15.85546875" bestFit="1" customWidth="1"/>
    <col min="33" max="33" width="9.85546875" bestFit="1" customWidth="1"/>
    <col min="35" max="35" width="8.42578125" bestFit="1" customWidth="1"/>
    <col min="36" max="36" width="9.7109375" bestFit="1" customWidth="1"/>
    <col min="37" max="37" width="10.5703125" bestFit="1" customWidth="1"/>
  </cols>
  <sheetData>
    <row r="1" spans="1:38" x14ac:dyDescent="0.25">
      <c r="A1" s="1" t="s">
        <v>0</v>
      </c>
      <c r="B1" s="1" t="s">
        <v>1</v>
      </c>
      <c r="C1" s="1" t="s">
        <v>2</v>
      </c>
      <c r="D1" s="1" t="s">
        <v>3</v>
      </c>
      <c r="E1" s="1" t="s">
        <v>4</v>
      </c>
      <c r="F1" s="1" t="s">
        <v>5</v>
      </c>
      <c r="G1" s="1" t="s">
        <v>19</v>
      </c>
      <c r="H1" s="1" t="s">
        <v>6</v>
      </c>
      <c r="I1" s="1" t="s">
        <v>7</v>
      </c>
      <c r="J1" s="1" t="s">
        <v>8</v>
      </c>
      <c r="K1" s="1" t="s">
        <v>9</v>
      </c>
      <c r="L1" s="1" t="s">
        <v>10</v>
      </c>
      <c r="M1" s="1" t="s">
        <v>11</v>
      </c>
      <c r="N1" s="1" t="s">
        <v>12</v>
      </c>
      <c r="O1" s="1" t="s">
        <v>13</v>
      </c>
      <c r="P1" s="1" t="s">
        <v>14</v>
      </c>
      <c r="Q1" s="1" t="s">
        <v>15</v>
      </c>
      <c r="R1" s="1" t="s">
        <v>16</v>
      </c>
      <c r="S1" s="1" t="s">
        <v>17</v>
      </c>
      <c r="T1" s="1" t="s">
        <v>18</v>
      </c>
      <c r="U1" s="1" t="s">
        <v>20</v>
      </c>
      <c r="V1" s="1"/>
      <c r="W1" s="1"/>
      <c r="X1" s="1"/>
      <c r="Y1" s="1"/>
      <c r="Z1" s="1"/>
      <c r="AA1" s="1"/>
      <c r="AB1" s="1"/>
      <c r="AC1" s="1"/>
      <c r="AD1" s="1"/>
      <c r="AE1" s="1"/>
      <c r="AF1" s="1"/>
      <c r="AG1" s="1"/>
      <c r="AH1" s="1"/>
      <c r="AI1" s="1"/>
      <c r="AJ1" s="1"/>
      <c r="AK1" s="1"/>
      <c r="AL1" s="1"/>
    </row>
    <row r="2" spans="1:38" x14ac:dyDescent="0.25">
      <c r="B2" s="2">
        <v>1</v>
      </c>
      <c r="C2" s="7">
        <v>27756</v>
      </c>
      <c r="D2" s="7"/>
      <c r="E2" s="7">
        <v>24426</v>
      </c>
      <c r="F2" s="7"/>
      <c r="G2" s="7">
        <v>499152327655</v>
      </c>
      <c r="H2" s="7">
        <v>555191114370</v>
      </c>
      <c r="I2" s="7">
        <v>91042544275</v>
      </c>
      <c r="J2" s="7">
        <v>332325722493</v>
      </c>
      <c r="K2" s="7">
        <v>93208407573</v>
      </c>
      <c r="L2" s="7">
        <v>0</v>
      </c>
      <c r="M2" s="7">
        <v>421852457192</v>
      </c>
      <c r="N2" s="8">
        <v>26440574278</v>
      </c>
      <c r="O2" s="8">
        <v>12257808525</v>
      </c>
      <c r="P2" s="7">
        <v>8266679000</v>
      </c>
      <c r="Q2" s="7">
        <v>529398868</v>
      </c>
      <c r="R2" s="9">
        <v>47604553120</v>
      </c>
      <c r="S2" s="9">
        <v>45430671769</v>
      </c>
      <c r="T2" s="7">
        <f t="shared" ref="T2:T23" si="0">R2-S2</f>
        <v>2173881351</v>
      </c>
      <c r="U2" s="103">
        <v>42643</v>
      </c>
    </row>
    <row r="3" spans="1:38" x14ac:dyDescent="0.25">
      <c r="B3" s="2">
        <v>7</v>
      </c>
      <c r="C3" s="7">
        <v>3453</v>
      </c>
      <c r="D3" s="7">
        <v>645</v>
      </c>
      <c r="E3" s="7">
        <v>3755</v>
      </c>
      <c r="F3" s="7">
        <v>623</v>
      </c>
      <c r="G3" s="7">
        <v>90100029350</v>
      </c>
      <c r="H3" s="7">
        <v>90100029350</v>
      </c>
      <c r="I3" s="10">
        <v>9170123250</v>
      </c>
      <c r="J3" s="9">
        <v>67984468350</v>
      </c>
      <c r="K3" s="9">
        <v>13481023250</v>
      </c>
      <c r="L3" s="7">
        <v>0</v>
      </c>
      <c r="M3" s="9">
        <v>76556843150</v>
      </c>
      <c r="N3" s="11">
        <f>8759157975-3349897325</f>
        <v>5409260650</v>
      </c>
      <c r="O3" s="11">
        <f>8759157975-5409260650</f>
        <v>3349897325</v>
      </c>
      <c r="P3" s="7">
        <v>1143519800</v>
      </c>
      <c r="Q3" s="7">
        <v>125671100</v>
      </c>
      <c r="R3" s="7">
        <v>7520585300</v>
      </c>
      <c r="S3" s="7">
        <v>7460110150</v>
      </c>
      <c r="T3" s="7">
        <f t="shared" si="0"/>
        <v>60475150</v>
      </c>
      <c r="U3" s="103">
        <v>42643</v>
      </c>
    </row>
    <row r="4" spans="1:38" x14ac:dyDescent="0.25">
      <c r="B4" s="3">
        <v>12</v>
      </c>
      <c r="C4" s="12">
        <v>7276</v>
      </c>
      <c r="D4" s="13">
        <v>0</v>
      </c>
      <c r="E4" s="12">
        <v>5324</v>
      </c>
      <c r="F4" s="13">
        <v>0</v>
      </c>
      <c r="G4" s="12">
        <v>81303142255</v>
      </c>
      <c r="H4" s="12">
        <v>72967840294</v>
      </c>
      <c r="I4" s="12">
        <v>13598837400</v>
      </c>
      <c r="J4" s="13">
        <v>48852235083</v>
      </c>
      <c r="K4" s="13">
        <f>56152180234-J4</f>
        <v>7299945151</v>
      </c>
      <c r="L4" s="13">
        <v>303750000</v>
      </c>
      <c r="M4" s="13">
        <v>63409751450</v>
      </c>
      <c r="N4" s="13">
        <f>5856418450+3103382500</f>
        <v>8959800950</v>
      </c>
      <c r="O4" s="13">
        <v>2652056300</v>
      </c>
      <c r="P4" s="13">
        <v>3147345698</v>
      </c>
      <c r="Q4" s="13">
        <v>3061693399</v>
      </c>
      <c r="R4" s="13">
        <v>8196962103</v>
      </c>
      <c r="S4" s="13">
        <v>8172885095</v>
      </c>
      <c r="T4" s="13">
        <f t="shared" si="0"/>
        <v>24077008</v>
      </c>
      <c r="U4" s="104">
        <v>42643</v>
      </c>
    </row>
    <row r="5" spans="1:38" x14ac:dyDescent="0.25">
      <c r="B5" s="2">
        <v>14</v>
      </c>
      <c r="C5" s="9">
        <v>10513</v>
      </c>
      <c r="D5" s="9">
        <v>475</v>
      </c>
      <c r="E5" s="9">
        <v>6664</v>
      </c>
      <c r="F5" s="9">
        <v>446</v>
      </c>
      <c r="G5" s="9">
        <v>188891234687</v>
      </c>
      <c r="H5" s="9">
        <v>162551923825</v>
      </c>
      <c r="I5" s="9">
        <v>15960428850</v>
      </c>
      <c r="J5" s="9">
        <v>100852073014</v>
      </c>
      <c r="K5" s="9">
        <v>46714582774</v>
      </c>
      <c r="L5" s="7">
        <v>0</v>
      </c>
      <c r="M5" s="9">
        <v>136789023600</v>
      </c>
      <c r="N5" s="14">
        <v>28150517100</v>
      </c>
      <c r="O5" s="14">
        <v>3640462700</v>
      </c>
      <c r="P5" s="9">
        <v>5499967241</v>
      </c>
      <c r="Q5" s="9">
        <v>7320071650</v>
      </c>
      <c r="R5" s="9">
        <v>16612363216</v>
      </c>
      <c r="S5" s="9">
        <v>16950839714</v>
      </c>
      <c r="T5" s="7">
        <f t="shared" si="0"/>
        <v>-338476498</v>
      </c>
      <c r="U5" s="103">
        <v>42643</v>
      </c>
    </row>
    <row r="6" spans="1:38" x14ac:dyDescent="0.25">
      <c r="B6" s="4">
        <v>35</v>
      </c>
      <c r="C6" s="15">
        <v>222</v>
      </c>
      <c r="D6" s="15"/>
      <c r="E6" s="15">
        <v>260</v>
      </c>
      <c r="F6" s="10"/>
      <c r="G6" s="16">
        <v>10841188558</v>
      </c>
      <c r="H6" s="16">
        <v>9844614048</v>
      </c>
      <c r="I6" s="16">
        <v>889343050</v>
      </c>
      <c r="J6" s="16">
        <v>1289372875</v>
      </c>
      <c r="K6" s="16">
        <v>1670597472</v>
      </c>
      <c r="L6" s="17">
        <v>724278400</v>
      </c>
      <c r="M6" s="17">
        <v>9535395625</v>
      </c>
      <c r="N6" s="10">
        <v>0</v>
      </c>
      <c r="O6" s="10">
        <v>0</v>
      </c>
      <c r="P6" s="18">
        <v>57216007</v>
      </c>
      <c r="Q6" s="18">
        <v>158558722</v>
      </c>
      <c r="R6" s="18">
        <v>896976231</v>
      </c>
      <c r="S6" s="18">
        <v>436336986</v>
      </c>
      <c r="T6" s="10">
        <f t="shared" si="0"/>
        <v>460639245</v>
      </c>
      <c r="U6" s="105">
        <v>42643</v>
      </c>
    </row>
    <row r="7" spans="1:38" x14ac:dyDescent="0.25">
      <c r="B7" s="3">
        <v>40</v>
      </c>
      <c r="C7" s="12">
        <v>10955</v>
      </c>
      <c r="D7" s="19"/>
      <c r="E7" s="12">
        <v>11116</v>
      </c>
      <c r="F7" s="20">
        <v>0</v>
      </c>
      <c r="G7" s="12">
        <v>244783806306.58234</v>
      </c>
      <c r="H7" s="12">
        <v>203037020848.24899</v>
      </c>
      <c r="I7" s="21">
        <v>39418659300</v>
      </c>
      <c r="J7" s="21">
        <v>133310433015</v>
      </c>
      <c r="K7" s="21">
        <v>51634958370.26001</v>
      </c>
      <c r="L7" s="22"/>
      <c r="M7" s="23">
        <v>172082218525</v>
      </c>
      <c r="N7" s="23">
        <v>28191426562</v>
      </c>
      <c r="O7" s="23">
        <v>37472854525</v>
      </c>
      <c r="P7" s="24">
        <v>3003320000</v>
      </c>
      <c r="Q7" s="25">
        <v>8664138364.1259995</v>
      </c>
      <c r="R7" s="26">
        <v>19354239391.400002</v>
      </c>
      <c r="S7" s="26">
        <v>19592398838.500999</v>
      </c>
      <c r="T7" s="13">
        <f t="shared" si="0"/>
        <v>-238159447.10099792</v>
      </c>
      <c r="U7" s="104">
        <v>42643</v>
      </c>
    </row>
    <row r="8" spans="1:38" x14ac:dyDescent="0.25">
      <c r="B8" s="3">
        <v>46</v>
      </c>
      <c r="C8" s="13">
        <v>1947</v>
      </c>
      <c r="D8" s="13">
        <v>64</v>
      </c>
      <c r="E8" s="13">
        <v>1383</v>
      </c>
      <c r="F8" s="13">
        <v>34</v>
      </c>
      <c r="G8" s="13">
        <v>35779958406.239998</v>
      </c>
      <c r="H8" s="13">
        <v>29733701670.029999</v>
      </c>
      <c r="I8" s="13">
        <v>4320705623</v>
      </c>
      <c r="J8" s="13">
        <v>24572470774</v>
      </c>
      <c r="K8" s="13">
        <v>2659557804</v>
      </c>
      <c r="L8" s="13">
        <f>2722838100+161781800</f>
        <v>2884619900</v>
      </c>
      <c r="M8" s="13">
        <v>25783095431</v>
      </c>
      <c r="N8" s="13">
        <v>4616964200</v>
      </c>
      <c r="O8" s="13">
        <v>978365750</v>
      </c>
      <c r="P8" s="13">
        <v>847037398</v>
      </c>
      <c r="Q8" s="13">
        <v>285860999</v>
      </c>
      <c r="R8" s="13">
        <v>3303928202.2800002</v>
      </c>
      <c r="S8" s="13">
        <v>3541981628.8299999</v>
      </c>
      <c r="T8" s="13">
        <f t="shared" si="0"/>
        <v>-238053426.54999971</v>
      </c>
      <c r="U8" s="104">
        <v>42643</v>
      </c>
    </row>
    <row r="9" spans="1:38" x14ac:dyDescent="0.25">
      <c r="B9" s="5">
        <v>53</v>
      </c>
      <c r="C9" s="27"/>
      <c r="D9" s="27"/>
      <c r="E9" s="27"/>
      <c r="F9" s="27"/>
      <c r="G9" s="28">
        <v>269631340488</v>
      </c>
      <c r="H9" s="28">
        <v>256263481019</v>
      </c>
      <c r="I9" s="28">
        <f>2159500000+33341299270</f>
        <v>35500799270</v>
      </c>
      <c r="J9" s="28">
        <v>156052463275</v>
      </c>
      <c r="K9" s="28">
        <f>196970163015</f>
        <v>196970163015</v>
      </c>
      <c r="L9" s="29">
        <v>0</v>
      </c>
      <c r="M9" s="28">
        <v>175687913900</v>
      </c>
      <c r="N9" s="30">
        <f>16150638000+6032239800</f>
        <v>22182877800</v>
      </c>
      <c r="O9" s="30">
        <v>10856977150</v>
      </c>
      <c r="P9" s="28">
        <v>11792230513</v>
      </c>
      <c r="Q9" s="28">
        <v>4116510096</v>
      </c>
      <c r="R9" s="28">
        <f>15356031214+2542254526</f>
        <v>17898285740</v>
      </c>
      <c r="S9" s="28">
        <f>11355651600+5936759382</f>
        <v>17292410982</v>
      </c>
      <c r="T9" s="29">
        <f t="shared" si="0"/>
        <v>605874758</v>
      </c>
      <c r="U9" s="106">
        <v>42643</v>
      </c>
    </row>
    <row r="10" spans="1:38" x14ac:dyDescent="0.25">
      <c r="B10" s="6">
        <v>54</v>
      </c>
      <c r="C10" s="31">
        <v>4643</v>
      </c>
      <c r="D10" s="31">
        <v>702</v>
      </c>
      <c r="E10" s="31">
        <v>3485</v>
      </c>
      <c r="F10" s="31">
        <v>505</v>
      </c>
      <c r="G10" s="32">
        <v>106190847688.47142</v>
      </c>
      <c r="H10" s="32">
        <v>100655111461.47142</v>
      </c>
      <c r="I10" s="33">
        <v>13115072400</v>
      </c>
      <c r="J10" s="33">
        <v>66255021262</v>
      </c>
      <c r="K10" s="33">
        <v>18890039197</v>
      </c>
      <c r="L10" s="32">
        <v>16664700</v>
      </c>
      <c r="M10" s="31">
        <v>86964733046</v>
      </c>
      <c r="N10" s="31">
        <v>15221112590</v>
      </c>
      <c r="O10" s="31">
        <v>7928244600</v>
      </c>
      <c r="P10" s="32">
        <v>2834144256.5299997</v>
      </c>
      <c r="Q10" s="32">
        <v>1334693533.6799998</v>
      </c>
      <c r="R10" s="32">
        <v>8205971170.9800005</v>
      </c>
      <c r="S10" s="32">
        <f>5636590800+2839832627.42857+8841689.66</f>
        <v>8485265117.0885696</v>
      </c>
      <c r="T10" s="31">
        <f t="shared" si="0"/>
        <v>-279293946.10856915</v>
      </c>
      <c r="U10" s="107">
        <v>42643</v>
      </c>
    </row>
    <row r="11" spans="1:38" x14ac:dyDescent="0.25">
      <c r="B11" s="6">
        <v>59</v>
      </c>
      <c r="C11" s="31">
        <v>5278</v>
      </c>
      <c r="D11" s="31">
        <v>242</v>
      </c>
      <c r="E11" s="31">
        <v>5500</v>
      </c>
      <c r="F11" s="31">
        <v>223</v>
      </c>
      <c r="G11" s="31">
        <v>158238698501</v>
      </c>
      <c r="H11" s="31">
        <v>149713991689</v>
      </c>
      <c r="I11" s="31">
        <v>19127704400</v>
      </c>
      <c r="J11" s="31">
        <v>62728923700</v>
      </c>
      <c r="K11" s="31">
        <v>62169857631</v>
      </c>
      <c r="L11" s="31">
        <v>0</v>
      </c>
      <c r="M11" s="31">
        <v>110846563197</v>
      </c>
      <c r="N11" s="31">
        <v>10822534600</v>
      </c>
      <c r="O11" s="31">
        <v>15094775550</v>
      </c>
      <c r="P11" s="31">
        <v>5685742868</v>
      </c>
      <c r="Q11" s="31">
        <v>395893834</v>
      </c>
      <c r="R11" s="31">
        <v>14105215770</v>
      </c>
      <c r="S11" s="31">
        <v>13564742099</v>
      </c>
      <c r="T11" s="31">
        <f t="shared" si="0"/>
        <v>540473671</v>
      </c>
      <c r="U11" s="107">
        <v>42643</v>
      </c>
    </row>
    <row r="12" spans="1:38" x14ac:dyDescent="0.25">
      <c r="B12" s="6">
        <v>69</v>
      </c>
      <c r="C12" s="31">
        <v>2899</v>
      </c>
      <c r="D12" s="34"/>
      <c r="E12" s="31">
        <v>2666</v>
      </c>
      <c r="F12" s="31">
        <v>0</v>
      </c>
      <c r="G12" s="32">
        <v>48611455129</v>
      </c>
      <c r="H12" s="31">
        <v>45395429479</v>
      </c>
      <c r="I12" s="31">
        <v>4182164300</v>
      </c>
      <c r="J12" s="31">
        <v>26489056678</v>
      </c>
      <c r="K12" s="31">
        <v>12610905962</v>
      </c>
      <c r="L12" s="32">
        <v>1075000000</v>
      </c>
      <c r="M12" s="31">
        <v>34937578340</v>
      </c>
      <c r="N12" s="31">
        <v>6020526150</v>
      </c>
      <c r="O12" s="31">
        <v>1211815050</v>
      </c>
      <c r="P12" s="31">
        <v>1629281003</v>
      </c>
      <c r="Q12" s="31">
        <v>108367784</v>
      </c>
      <c r="R12" s="31">
        <v>4138819545</v>
      </c>
      <c r="S12" s="31">
        <v>4130490406</v>
      </c>
      <c r="T12" s="31">
        <f t="shared" si="0"/>
        <v>8329139</v>
      </c>
      <c r="U12" s="107">
        <v>42643</v>
      </c>
    </row>
    <row r="13" spans="1:38" x14ac:dyDescent="0.25">
      <c r="B13" s="6">
        <v>70</v>
      </c>
      <c r="C13" s="31">
        <v>725</v>
      </c>
      <c r="D13" s="31">
        <v>2</v>
      </c>
      <c r="E13" s="31">
        <v>580</v>
      </c>
      <c r="F13" s="31">
        <v>0</v>
      </c>
      <c r="G13" s="32">
        <v>9553142626</v>
      </c>
      <c r="H13" s="32">
        <v>6562437476</v>
      </c>
      <c r="I13" s="31">
        <v>1291473900</v>
      </c>
      <c r="J13" s="31">
        <v>6127282850</v>
      </c>
      <c r="K13" s="31">
        <v>1200295994</v>
      </c>
      <c r="L13" s="32">
        <v>510000000</v>
      </c>
      <c r="M13" s="31">
        <v>6426245200</v>
      </c>
      <c r="N13" s="31">
        <v>859670300</v>
      </c>
      <c r="O13" s="31">
        <v>2659054100</v>
      </c>
      <c r="P13" s="32">
        <v>152890423</v>
      </c>
      <c r="Q13" s="32">
        <v>2648999</v>
      </c>
      <c r="R13" s="32">
        <v>608705000</v>
      </c>
      <c r="S13" s="32">
        <v>556640450</v>
      </c>
      <c r="T13" s="31">
        <f t="shared" si="0"/>
        <v>52064550</v>
      </c>
      <c r="U13" s="107">
        <v>42643</v>
      </c>
    </row>
    <row r="14" spans="1:38" x14ac:dyDescent="0.25">
      <c r="B14" s="6">
        <v>76</v>
      </c>
      <c r="C14" s="31">
        <v>1205</v>
      </c>
      <c r="D14" s="34"/>
      <c r="E14" s="31">
        <v>1002</v>
      </c>
      <c r="F14" s="22"/>
      <c r="G14" s="31">
        <v>42064398666</v>
      </c>
      <c r="H14" s="31">
        <v>41533499141</v>
      </c>
      <c r="I14" s="31">
        <v>3022490000</v>
      </c>
      <c r="J14" s="31">
        <v>21642134450</v>
      </c>
      <c r="K14" s="31">
        <v>4075011100</v>
      </c>
      <c r="L14" s="31">
        <v>0</v>
      </c>
      <c r="M14" s="31">
        <v>28446444750</v>
      </c>
      <c r="N14" s="31">
        <v>68946799</v>
      </c>
      <c r="O14" s="31">
        <v>0</v>
      </c>
      <c r="P14" s="36">
        <v>0</v>
      </c>
      <c r="Q14" s="31">
        <v>716064270</v>
      </c>
      <c r="R14" s="31">
        <v>3366572718</v>
      </c>
      <c r="S14" s="31">
        <v>3088940089</v>
      </c>
      <c r="T14" s="31">
        <f t="shared" si="0"/>
        <v>277632629</v>
      </c>
      <c r="U14" s="107">
        <v>42643</v>
      </c>
    </row>
    <row r="15" spans="1:38" x14ac:dyDescent="0.25">
      <c r="B15" s="2">
        <v>79</v>
      </c>
      <c r="C15" s="37">
        <v>290</v>
      </c>
      <c r="D15" s="37">
        <v>28</v>
      </c>
      <c r="E15" s="15">
        <v>263</v>
      </c>
      <c r="F15" s="15">
        <v>41</v>
      </c>
      <c r="G15" s="7">
        <v>10603119165</v>
      </c>
      <c r="H15" s="7">
        <v>10261300765</v>
      </c>
      <c r="I15" s="7">
        <v>973219000</v>
      </c>
      <c r="J15" s="38">
        <v>5585726000</v>
      </c>
      <c r="K15" s="7">
        <v>985278850</v>
      </c>
      <c r="L15" s="7">
        <v>0</v>
      </c>
      <c r="M15" s="7">
        <v>5329990600</v>
      </c>
      <c r="N15" s="11">
        <v>56785800</v>
      </c>
      <c r="O15" s="11">
        <v>458897100</v>
      </c>
      <c r="P15" s="7">
        <v>493344593</v>
      </c>
      <c r="Q15" s="7">
        <v>190609250</v>
      </c>
      <c r="R15" s="7">
        <v>1047309993</v>
      </c>
      <c r="S15" s="7">
        <v>819473421</v>
      </c>
      <c r="T15" s="7">
        <f t="shared" si="0"/>
        <v>227836572</v>
      </c>
      <c r="U15" s="103">
        <v>42643</v>
      </c>
    </row>
    <row r="16" spans="1:38" x14ac:dyDescent="0.25">
      <c r="B16" s="4">
        <v>80</v>
      </c>
      <c r="C16" s="39">
        <v>261</v>
      </c>
      <c r="D16" s="39"/>
      <c r="E16" s="39">
        <v>152</v>
      </c>
      <c r="F16" s="10">
        <v>0</v>
      </c>
      <c r="G16" s="10">
        <v>1635969468.869</v>
      </c>
      <c r="H16" s="10">
        <v>1301806077.869</v>
      </c>
      <c r="I16" s="10">
        <v>197845071.69999999</v>
      </c>
      <c r="J16" s="10">
        <v>336117700.39999998</v>
      </c>
      <c r="K16" s="10">
        <v>524363905</v>
      </c>
      <c r="L16" s="10">
        <v>0</v>
      </c>
      <c r="M16" s="10">
        <v>770474602.49600005</v>
      </c>
      <c r="N16" s="40">
        <v>96203509.366100013</v>
      </c>
      <c r="O16" s="40">
        <v>18585602.719999999</v>
      </c>
      <c r="P16" s="10">
        <v>230080295</v>
      </c>
      <c r="Q16" s="10">
        <v>4265540.0999999996</v>
      </c>
      <c r="R16" s="41">
        <v>160950180.96899998</v>
      </c>
      <c r="S16" s="41">
        <v>204969254.19999999</v>
      </c>
      <c r="T16" s="10">
        <f t="shared" si="0"/>
        <v>-44019073.231000006</v>
      </c>
      <c r="U16" s="105">
        <v>42643</v>
      </c>
    </row>
    <row r="17" spans="2:21" x14ac:dyDescent="0.25">
      <c r="B17" s="6">
        <v>83</v>
      </c>
      <c r="C17" s="31">
        <v>946</v>
      </c>
      <c r="D17" s="31"/>
      <c r="E17" s="31">
        <v>1235</v>
      </c>
      <c r="F17" s="22">
        <v>0</v>
      </c>
      <c r="G17" s="31">
        <v>7784223812</v>
      </c>
      <c r="H17" s="31">
        <v>7537235574</v>
      </c>
      <c r="I17" s="31">
        <v>1405555000</v>
      </c>
      <c r="J17" s="31">
        <v>5514455462</v>
      </c>
      <c r="K17" s="31">
        <v>198834843</v>
      </c>
      <c r="L17" s="31">
        <v>0</v>
      </c>
      <c r="M17" s="31">
        <v>4811929700</v>
      </c>
      <c r="N17" s="31">
        <v>711630500</v>
      </c>
      <c r="O17" s="31">
        <v>191126300</v>
      </c>
      <c r="P17" s="31">
        <v>145399649</v>
      </c>
      <c r="Q17" s="31">
        <v>49072846</v>
      </c>
      <c r="R17" s="31">
        <v>738836612</v>
      </c>
      <c r="S17" s="31">
        <v>752771628</v>
      </c>
      <c r="T17" s="31">
        <f t="shared" si="0"/>
        <v>-13935016</v>
      </c>
      <c r="U17" s="107">
        <v>42643</v>
      </c>
    </row>
    <row r="18" spans="2:21" x14ac:dyDescent="0.25">
      <c r="B18" s="4">
        <v>84</v>
      </c>
      <c r="C18" s="10">
        <v>450</v>
      </c>
      <c r="D18" s="15"/>
      <c r="E18" s="10">
        <v>596</v>
      </c>
      <c r="F18" s="10">
        <v>0</v>
      </c>
      <c r="G18" s="42">
        <v>6887071211</v>
      </c>
      <c r="H18" s="10">
        <v>5703400534</v>
      </c>
      <c r="I18" s="10">
        <v>564288979</v>
      </c>
      <c r="J18" s="10">
        <v>4745154912</v>
      </c>
      <c r="K18" s="42">
        <v>924392732</v>
      </c>
      <c r="L18" s="42">
        <v>290000000</v>
      </c>
      <c r="M18" s="10">
        <v>4601690300</v>
      </c>
      <c r="N18" s="14">
        <v>480958100</v>
      </c>
      <c r="O18" s="14">
        <v>60129900</v>
      </c>
      <c r="P18" s="42">
        <v>152136175</v>
      </c>
      <c r="Q18" s="42">
        <v>43390627</v>
      </c>
      <c r="R18" s="42">
        <v>775619263</v>
      </c>
      <c r="S18" s="42">
        <v>773342453</v>
      </c>
      <c r="T18" s="10">
        <f t="shared" si="0"/>
        <v>2276810</v>
      </c>
      <c r="U18" s="105">
        <v>42643</v>
      </c>
    </row>
    <row r="19" spans="2:21" x14ac:dyDescent="0.25">
      <c r="B19" s="3">
        <v>39</v>
      </c>
      <c r="C19" s="13">
        <v>23053</v>
      </c>
      <c r="D19" s="13">
        <v>1345</v>
      </c>
      <c r="E19" s="13">
        <v>20228</v>
      </c>
      <c r="F19" s="13">
        <v>1383</v>
      </c>
      <c r="G19" s="12">
        <v>855414778414</v>
      </c>
      <c r="H19" s="12">
        <v>778790035999</v>
      </c>
      <c r="I19" s="13">
        <v>84548122934</v>
      </c>
      <c r="J19" s="13">
        <v>550720396167</v>
      </c>
      <c r="K19" s="13">
        <v>168720910435</v>
      </c>
      <c r="L19" s="13">
        <v>3300000000</v>
      </c>
      <c r="M19" s="13">
        <v>676975210536.28052</v>
      </c>
      <c r="N19" s="13">
        <v>103357098762</v>
      </c>
      <c r="O19" s="13">
        <v>98903612976</v>
      </c>
      <c r="P19" s="13">
        <v>19623502216</v>
      </c>
      <c r="Q19" s="13">
        <v>5105256700</v>
      </c>
      <c r="R19" s="13">
        <v>58962311349</v>
      </c>
      <c r="S19" s="13">
        <v>61413732725</v>
      </c>
      <c r="T19" s="13">
        <f t="shared" si="0"/>
        <v>-2451421376</v>
      </c>
      <c r="U19" s="104">
        <v>42643</v>
      </c>
    </row>
    <row r="20" spans="2:21" x14ac:dyDescent="0.25">
      <c r="B20" s="6">
        <v>41</v>
      </c>
      <c r="C20" s="31">
        <v>12647</v>
      </c>
      <c r="D20" s="31">
        <v>1070</v>
      </c>
      <c r="E20" s="31">
        <v>11769</v>
      </c>
      <c r="F20" s="31">
        <v>1124</v>
      </c>
      <c r="G20" s="31">
        <v>424398360818.22223</v>
      </c>
      <c r="H20" s="31">
        <v>402087143284</v>
      </c>
      <c r="I20" s="31">
        <v>48558082600</v>
      </c>
      <c r="J20" s="31">
        <v>292655729794</v>
      </c>
      <c r="K20" s="31">
        <v>34507085246</v>
      </c>
      <c r="L20" s="31">
        <v>6164816400</v>
      </c>
      <c r="M20" s="31">
        <v>335142862745</v>
      </c>
      <c r="N20" s="31">
        <v>62599516600</v>
      </c>
      <c r="O20" s="31">
        <v>15334775300</v>
      </c>
      <c r="P20" s="31">
        <v>20418594321</v>
      </c>
      <c r="Q20" s="31">
        <v>4568865641</v>
      </c>
      <c r="R20" s="31">
        <v>27860324566</v>
      </c>
      <c r="S20" s="31">
        <v>28271800541</v>
      </c>
      <c r="T20" s="31">
        <f t="shared" si="0"/>
        <v>-411475975</v>
      </c>
      <c r="U20" s="107">
        <v>42613</v>
      </c>
    </row>
    <row r="21" spans="2:21" x14ac:dyDescent="0.25">
      <c r="B21" s="6">
        <v>44</v>
      </c>
      <c r="C21" s="43">
        <v>3929</v>
      </c>
      <c r="D21" s="34"/>
      <c r="E21" s="31">
        <v>4036</v>
      </c>
      <c r="F21" s="22"/>
      <c r="G21" s="31">
        <v>161968174383.33334</v>
      </c>
      <c r="H21" s="31">
        <v>155025573254</v>
      </c>
      <c r="I21" s="31">
        <v>12725107000</v>
      </c>
      <c r="J21" s="31">
        <v>86103496508</v>
      </c>
      <c r="K21" s="31">
        <v>50524959553</v>
      </c>
      <c r="L21" s="22"/>
      <c r="M21" s="31">
        <v>127555438388</v>
      </c>
      <c r="N21" s="31">
        <v>30591422220</v>
      </c>
      <c r="O21" s="31">
        <v>7085297275</v>
      </c>
      <c r="P21" s="31">
        <v>6204723676</v>
      </c>
      <c r="Q21" s="31">
        <v>1068642168</v>
      </c>
      <c r="R21" s="31">
        <v>11680506555</v>
      </c>
      <c r="S21" s="31">
        <v>12760027812.666666</v>
      </c>
      <c r="T21" s="31">
        <f t="shared" si="0"/>
        <v>-1079521257.666666</v>
      </c>
      <c r="U21" s="107">
        <v>42643</v>
      </c>
    </row>
    <row r="22" spans="2:21" x14ac:dyDescent="0.25">
      <c r="B22" s="6">
        <v>48</v>
      </c>
      <c r="C22" s="19">
        <v>7456</v>
      </c>
      <c r="D22" s="19">
        <v>616</v>
      </c>
      <c r="E22" s="19">
        <v>5572</v>
      </c>
      <c r="F22" s="19">
        <v>581</v>
      </c>
      <c r="G22" s="13">
        <v>262389955594.29999</v>
      </c>
      <c r="H22" s="13">
        <v>253247153606.29999</v>
      </c>
      <c r="I22" s="13">
        <v>20173709250.299999</v>
      </c>
      <c r="J22" s="13">
        <v>197742190816</v>
      </c>
      <c r="K22" s="13">
        <v>36965333310</v>
      </c>
      <c r="L22" s="13">
        <v>0</v>
      </c>
      <c r="M22" s="13">
        <v>157244003774</v>
      </c>
      <c r="N22" s="13">
        <v>21747381470</v>
      </c>
      <c r="O22" s="13">
        <v>13743702295</v>
      </c>
      <c r="P22" s="13">
        <v>8358220002</v>
      </c>
      <c r="Q22" s="13">
        <v>6975321404</v>
      </c>
      <c r="R22" s="13">
        <v>20782800349</v>
      </c>
      <c r="S22" s="13">
        <v>22062000142</v>
      </c>
      <c r="T22" s="31">
        <f t="shared" si="0"/>
        <v>-1279199793</v>
      </c>
      <c r="U22" s="107">
        <v>42643</v>
      </c>
    </row>
    <row r="23" spans="2:21" x14ac:dyDescent="0.25">
      <c r="B23" s="6">
        <v>49</v>
      </c>
      <c r="C23" s="31">
        <v>2759</v>
      </c>
      <c r="D23" s="31">
        <v>208</v>
      </c>
      <c r="E23" s="31">
        <v>3028</v>
      </c>
      <c r="F23" s="31">
        <v>202</v>
      </c>
      <c r="G23" s="31">
        <v>94867550697</v>
      </c>
      <c r="H23" s="31">
        <v>88579899878</v>
      </c>
      <c r="I23" s="32">
        <v>7955157100</v>
      </c>
      <c r="J23" s="32">
        <v>69727557923</v>
      </c>
      <c r="K23" s="43">
        <v>8968209675</v>
      </c>
      <c r="L23" s="22"/>
      <c r="M23" s="31">
        <v>83972276250</v>
      </c>
      <c r="N23" s="31">
        <v>21079011825</v>
      </c>
      <c r="O23" s="31">
        <v>17502384625</v>
      </c>
      <c r="P23" s="31">
        <v>2885052078</v>
      </c>
      <c r="Q23" s="31">
        <v>1225726404</v>
      </c>
      <c r="R23" s="31">
        <v>8048529269</v>
      </c>
      <c r="S23" s="31">
        <v>8114141267</v>
      </c>
      <c r="T23" s="31">
        <f t="shared" si="0"/>
        <v>-65611998</v>
      </c>
      <c r="U23" s="107">
        <v>42643</v>
      </c>
    </row>
    <row r="24" spans="2:21" x14ac:dyDescent="0.25">
      <c r="B24" s="6">
        <v>55</v>
      </c>
      <c r="C24" s="32">
        <v>1652</v>
      </c>
      <c r="D24" s="32">
        <v>176</v>
      </c>
      <c r="E24" s="32">
        <v>1254</v>
      </c>
      <c r="F24" s="32">
        <v>158</v>
      </c>
      <c r="G24" s="32">
        <v>36918529581</v>
      </c>
      <c r="H24" s="32">
        <v>27289268645</v>
      </c>
      <c r="I24" s="32">
        <v>5041597000</v>
      </c>
      <c r="J24" s="32">
        <v>21004809916</v>
      </c>
      <c r="K24" s="32">
        <v>7704956400</v>
      </c>
      <c r="L24" s="22"/>
      <c r="M24" s="32">
        <v>20721244700</v>
      </c>
      <c r="N24" s="32">
        <v>1928177400</v>
      </c>
      <c r="O24" s="31">
        <v>10248578500</v>
      </c>
      <c r="P24" s="32">
        <v>2106550774</v>
      </c>
      <c r="Q24" s="32">
        <v>379628917</v>
      </c>
      <c r="R24" s="32">
        <v>1013660742</v>
      </c>
      <c r="S24" s="32">
        <v>2119752923</v>
      </c>
      <c r="T24" s="31">
        <f>R24-S24</f>
        <v>-1106092181</v>
      </c>
      <c r="U24" s="107">
        <v>42643</v>
      </c>
    </row>
    <row r="25" spans="2:21" x14ac:dyDescent="0.25">
      <c r="B25" s="2">
        <v>60</v>
      </c>
      <c r="C25" s="7">
        <v>1513</v>
      </c>
      <c r="D25" s="7">
        <v>106</v>
      </c>
      <c r="E25" s="7">
        <v>2035</v>
      </c>
      <c r="F25" s="7">
        <v>93</v>
      </c>
      <c r="G25" s="9">
        <v>34713541983</v>
      </c>
      <c r="H25" s="9">
        <v>32433612502</v>
      </c>
      <c r="I25" s="7">
        <v>29230000</v>
      </c>
      <c r="J25" s="7">
        <v>17742022000</v>
      </c>
      <c r="K25" s="7">
        <v>6838991500</v>
      </c>
      <c r="L25" s="27"/>
      <c r="M25" s="9">
        <v>22804084500</v>
      </c>
      <c r="N25" s="9">
        <v>3756399000</v>
      </c>
      <c r="O25" s="9">
        <v>6917074500</v>
      </c>
      <c r="P25" s="9">
        <v>2554724310</v>
      </c>
      <c r="Q25" s="9">
        <v>354022145</v>
      </c>
      <c r="R25" s="9">
        <v>1798491295</v>
      </c>
      <c r="S25" s="9">
        <v>1772615650</v>
      </c>
      <c r="T25" s="7">
        <f t="shared" ref="T25:T60" si="1">R25-S25</f>
        <v>25875645</v>
      </c>
      <c r="U25" s="103">
        <v>42643</v>
      </c>
    </row>
    <row r="26" spans="2:21" x14ac:dyDescent="0.25">
      <c r="B26" s="4">
        <v>61</v>
      </c>
      <c r="C26" s="16">
        <v>1409</v>
      </c>
      <c r="D26" s="16">
        <v>137</v>
      </c>
      <c r="E26" s="16">
        <v>1551</v>
      </c>
      <c r="F26" s="16">
        <v>128</v>
      </c>
      <c r="G26" s="18">
        <v>44440366435</v>
      </c>
      <c r="H26" s="18">
        <v>41011654435</v>
      </c>
      <c r="I26" s="16">
        <v>4910690000</v>
      </c>
      <c r="J26" s="16">
        <v>25784278300</v>
      </c>
      <c r="K26" s="16">
        <v>8225734100</v>
      </c>
      <c r="L26" s="18">
        <v>50000000</v>
      </c>
      <c r="M26" s="18">
        <v>33143502850</v>
      </c>
      <c r="N26" s="18">
        <v>2115291800</v>
      </c>
      <c r="O26" s="18">
        <v>3347186300</v>
      </c>
      <c r="P26" s="18">
        <v>1803266487</v>
      </c>
      <c r="Q26" s="18">
        <v>365865156</v>
      </c>
      <c r="R26" s="18">
        <v>3581419901</v>
      </c>
      <c r="S26" s="18">
        <v>3482646150</v>
      </c>
      <c r="T26" s="10">
        <f t="shared" si="1"/>
        <v>98773751</v>
      </c>
      <c r="U26" s="105">
        <v>42643</v>
      </c>
    </row>
    <row r="27" spans="2:21" x14ac:dyDescent="0.25">
      <c r="B27" s="3">
        <v>62</v>
      </c>
      <c r="C27" s="12">
        <v>10657</v>
      </c>
      <c r="D27" s="12">
        <v>1625</v>
      </c>
      <c r="E27" s="12">
        <v>17378</v>
      </c>
      <c r="F27" s="12">
        <v>1645</v>
      </c>
      <c r="G27" s="12">
        <v>382438701151</v>
      </c>
      <c r="H27" s="12">
        <v>352510878093</v>
      </c>
      <c r="I27" s="12">
        <v>51487510350</v>
      </c>
      <c r="J27" s="12">
        <v>210600389675</v>
      </c>
      <c r="K27" s="12">
        <v>71144058025</v>
      </c>
      <c r="L27" s="12">
        <v>125000000</v>
      </c>
      <c r="M27" s="12">
        <v>230318161050</v>
      </c>
      <c r="N27" s="12">
        <v>12803760300</v>
      </c>
      <c r="O27" s="12">
        <v>657077900</v>
      </c>
      <c r="P27" s="12">
        <v>19590044815</v>
      </c>
      <c r="Q27" s="12">
        <v>3687518581</v>
      </c>
      <c r="R27" s="47">
        <v>34836696655</v>
      </c>
      <c r="S27" s="13">
        <v>34055774777</v>
      </c>
      <c r="T27" s="13">
        <f t="shared" si="1"/>
        <v>780921878</v>
      </c>
      <c r="U27" s="104">
        <v>42643</v>
      </c>
    </row>
    <row r="28" spans="2:21" x14ac:dyDescent="0.25">
      <c r="B28" s="6">
        <v>64</v>
      </c>
      <c r="C28" s="35">
        <v>5247</v>
      </c>
      <c r="D28" s="35">
        <v>5284</v>
      </c>
      <c r="E28" s="35">
        <v>418</v>
      </c>
      <c r="F28" s="35">
        <v>5316</v>
      </c>
      <c r="G28" s="32">
        <v>167794345519</v>
      </c>
      <c r="H28" s="32">
        <v>161739235965</v>
      </c>
      <c r="I28" s="32">
        <v>17431450000</v>
      </c>
      <c r="J28" s="34">
        <v>87545624100</v>
      </c>
      <c r="K28" s="32">
        <v>46047457800</v>
      </c>
      <c r="L28" s="22">
        <v>0</v>
      </c>
      <c r="M28" s="32">
        <v>103904615300</v>
      </c>
      <c r="N28" s="31">
        <v>3855346500</v>
      </c>
      <c r="O28" s="32"/>
      <c r="P28" s="32">
        <v>6836559671</v>
      </c>
      <c r="Q28" s="32">
        <v>1831987317</v>
      </c>
      <c r="R28" s="32">
        <v>17032824039</v>
      </c>
      <c r="S28" s="32">
        <v>17071449306</v>
      </c>
      <c r="T28" s="31">
        <f t="shared" si="1"/>
        <v>-38625267</v>
      </c>
      <c r="U28" s="107">
        <v>42643</v>
      </c>
    </row>
    <row r="29" spans="2:21" x14ac:dyDescent="0.25">
      <c r="B29" s="3">
        <v>65</v>
      </c>
      <c r="C29" s="23">
        <v>1688</v>
      </c>
      <c r="D29" s="23">
        <v>64</v>
      </c>
      <c r="E29" s="23">
        <v>1451</v>
      </c>
      <c r="F29" s="23">
        <v>53</v>
      </c>
      <c r="G29" s="48">
        <v>61622836368</v>
      </c>
      <c r="H29" s="48">
        <v>60513634384</v>
      </c>
      <c r="I29" s="48">
        <v>4567965000</v>
      </c>
      <c r="J29" s="31">
        <v>38559749900</v>
      </c>
      <c r="K29" s="31">
        <v>12687357500</v>
      </c>
      <c r="L29" s="13">
        <v>0</v>
      </c>
      <c r="M29" s="48">
        <v>42354665400</v>
      </c>
      <c r="N29" s="48">
        <v>3535137350</v>
      </c>
      <c r="O29" s="48">
        <v>2898598250</v>
      </c>
      <c r="P29" s="13">
        <v>1835122442</v>
      </c>
      <c r="Q29" s="13">
        <v>314935032</v>
      </c>
      <c r="R29" s="13">
        <v>3988350594</v>
      </c>
      <c r="S29" s="48">
        <v>3805823354</v>
      </c>
      <c r="T29" s="13">
        <f t="shared" si="1"/>
        <v>182527240</v>
      </c>
      <c r="U29" s="104">
        <v>42643</v>
      </c>
    </row>
    <row r="30" spans="2:21" x14ac:dyDescent="0.25">
      <c r="B30" s="2">
        <v>66</v>
      </c>
      <c r="C30" s="7">
        <v>4511</v>
      </c>
      <c r="D30" s="7">
        <v>296</v>
      </c>
      <c r="E30" s="7">
        <v>4906</v>
      </c>
      <c r="F30" s="7">
        <v>205</v>
      </c>
      <c r="G30" s="9">
        <v>128852937505</v>
      </c>
      <c r="H30" s="9">
        <v>121889903362</v>
      </c>
      <c r="I30" s="9">
        <v>13394220000</v>
      </c>
      <c r="J30" s="7">
        <v>78685453201</v>
      </c>
      <c r="K30" s="49">
        <v>26583881340</v>
      </c>
      <c r="L30" s="27"/>
      <c r="M30" s="7">
        <v>94588813916</v>
      </c>
      <c r="N30" s="50">
        <v>7830799400</v>
      </c>
      <c r="O30" s="11">
        <v>1494786500</v>
      </c>
      <c r="P30" s="9">
        <v>2117514672</v>
      </c>
      <c r="Q30" s="9">
        <v>361024101</v>
      </c>
      <c r="R30" s="9">
        <v>9319387847</v>
      </c>
      <c r="S30" s="9">
        <v>9488705198</v>
      </c>
      <c r="T30" s="7">
        <f t="shared" si="1"/>
        <v>-169317351</v>
      </c>
      <c r="U30" s="103">
        <v>42643</v>
      </c>
    </row>
    <row r="31" spans="2:21" x14ac:dyDescent="0.25">
      <c r="B31" s="2">
        <v>67</v>
      </c>
      <c r="C31" s="7">
        <v>10167</v>
      </c>
      <c r="D31" s="7">
        <v>1011</v>
      </c>
      <c r="E31" s="7">
        <v>13357</v>
      </c>
      <c r="F31" s="7">
        <v>1000</v>
      </c>
      <c r="G31" s="9">
        <v>331554106893</v>
      </c>
      <c r="H31" s="9">
        <v>322731310715</v>
      </c>
      <c r="I31" s="9">
        <v>44620420100</v>
      </c>
      <c r="J31" s="7">
        <v>172661692800</v>
      </c>
      <c r="K31" s="7">
        <v>77935463850</v>
      </c>
      <c r="L31" s="27"/>
      <c r="M31" s="9">
        <v>231788409100</v>
      </c>
      <c r="N31" s="9">
        <v>22553527350</v>
      </c>
      <c r="O31" s="9">
        <v>6258323500</v>
      </c>
      <c r="P31" s="7">
        <v>11175956887</v>
      </c>
      <c r="Q31" s="9">
        <v>3611878159</v>
      </c>
      <c r="R31" s="9">
        <v>23897603667</v>
      </c>
      <c r="S31" s="9">
        <v>23268232992</v>
      </c>
      <c r="T31" s="7">
        <f t="shared" si="1"/>
        <v>629370675</v>
      </c>
      <c r="U31" s="103">
        <v>42643</v>
      </c>
    </row>
    <row r="32" spans="2:21" x14ac:dyDescent="0.25">
      <c r="B32" s="2">
        <v>68</v>
      </c>
      <c r="C32" s="51">
        <v>1020</v>
      </c>
      <c r="D32" s="37"/>
      <c r="E32" s="51">
        <v>1600</v>
      </c>
      <c r="F32" s="7">
        <v>0</v>
      </c>
      <c r="G32" s="7">
        <v>25504219020</v>
      </c>
      <c r="H32" s="7">
        <v>21981306005</v>
      </c>
      <c r="I32" s="51">
        <v>2609465900</v>
      </c>
      <c r="J32" s="52">
        <v>11545057570</v>
      </c>
      <c r="K32" s="52">
        <v>6381813096</v>
      </c>
      <c r="L32" s="7">
        <v>1649999300</v>
      </c>
      <c r="M32" s="53">
        <v>15543416080</v>
      </c>
      <c r="N32" s="7">
        <v>1271664980</v>
      </c>
      <c r="O32" s="7">
        <v>427311100</v>
      </c>
      <c r="P32" s="7">
        <v>930597697</v>
      </c>
      <c r="Q32" s="7">
        <v>370406359</v>
      </c>
      <c r="R32" s="7">
        <v>2760562690</v>
      </c>
      <c r="S32" s="9">
        <v>2677721109</v>
      </c>
      <c r="T32" s="7">
        <f t="shared" si="1"/>
        <v>82841581</v>
      </c>
      <c r="U32" s="103">
        <v>42643</v>
      </c>
    </row>
    <row r="33" spans="2:21" x14ac:dyDescent="0.25">
      <c r="B33" s="6">
        <v>71</v>
      </c>
      <c r="C33" s="19">
        <v>1856</v>
      </c>
      <c r="D33" s="19">
        <v>81</v>
      </c>
      <c r="E33" s="19">
        <v>2834</v>
      </c>
      <c r="F33" s="19">
        <v>88</v>
      </c>
      <c r="G33" s="12">
        <v>72505001556</v>
      </c>
      <c r="H33" s="32">
        <v>64482773795</v>
      </c>
      <c r="I33" s="13">
        <v>8680709000</v>
      </c>
      <c r="J33" s="13">
        <v>39365376050</v>
      </c>
      <c r="K33" s="13">
        <v>11775889679</v>
      </c>
      <c r="L33" s="20"/>
      <c r="M33" s="13">
        <v>51080321000</v>
      </c>
      <c r="N33" s="13">
        <v>6577840300</v>
      </c>
      <c r="O33" s="13">
        <v>5956129900</v>
      </c>
      <c r="P33" s="12">
        <v>6492107557</v>
      </c>
      <c r="Q33" s="12">
        <v>1167142241</v>
      </c>
      <c r="R33" s="12">
        <v>4849701705</v>
      </c>
      <c r="S33" s="12">
        <v>4779475550</v>
      </c>
      <c r="T33" s="13">
        <f t="shared" si="1"/>
        <v>70226155</v>
      </c>
      <c r="U33" s="107">
        <v>42643</v>
      </c>
    </row>
    <row r="34" spans="2:21" x14ac:dyDescent="0.25">
      <c r="B34" s="2">
        <v>72</v>
      </c>
      <c r="C34" s="54">
        <v>610</v>
      </c>
      <c r="D34" s="54">
        <v>132</v>
      </c>
      <c r="E34" s="54">
        <v>815</v>
      </c>
      <c r="F34" s="54">
        <v>101</v>
      </c>
      <c r="G34" s="7">
        <v>14795549114</v>
      </c>
      <c r="H34" s="7">
        <v>14102630213</v>
      </c>
      <c r="I34" s="7">
        <v>2365830000</v>
      </c>
      <c r="J34" s="7">
        <v>8714916600</v>
      </c>
      <c r="K34" s="7">
        <v>1836419100</v>
      </c>
      <c r="L34" s="7">
        <v>0</v>
      </c>
      <c r="M34" s="7">
        <v>9260535850</v>
      </c>
      <c r="N34" s="7">
        <v>1692138650</v>
      </c>
      <c r="O34" s="7">
        <v>456422500</v>
      </c>
      <c r="P34" s="7">
        <v>558745700</v>
      </c>
      <c r="Q34" s="7">
        <v>170317451</v>
      </c>
      <c r="R34" s="7">
        <v>1476846313</v>
      </c>
      <c r="S34" s="7">
        <v>1495386106</v>
      </c>
      <c r="T34" s="7">
        <f t="shared" si="1"/>
        <v>-18539793</v>
      </c>
      <c r="U34" s="103">
        <v>42643</v>
      </c>
    </row>
    <row r="35" spans="2:21" x14ac:dyDescent="0.25">
      <c r="B35" s="4">
        <v>74</v>
      </c>
      <c r="C35" s="15">
        <v>527</v>
      </c>
      <c r="D35" s="15">
        <v>122</v>
      </c>
      <c r="E35" s="15">
        <v>590</v>
      </c>
      <c r="F35" s="15">
        <v>97</v>
      </c>
      <c r="G35" s="10">
        <v>40793686199</v>
      </c>
      <c r="H35" s="10">
        <v>39190970157</v>
      </c>
      <c r="I35" s="10">
        <v>4242734000</v>
      </c>
      <c r="J35" s="10">
        <v>21321923536</v>
      </c>
      <c r="K35" s="10">
        <v>10397254291</v>
      </c>
      <c r="L35" s="10">
        <v>732333000</v>
      </c>
      <c r="M35" s="42">
        <v>35112783000</v>
      </c>
      <c r="N35" s="42">
        <v>4490350000</v>
      </c>
      <c r="O35" s="15">
        <v>121742000</v>
      </c>
      <c r="P35" s="10">
        <v>1763275143</v>
      </c>
      <c r="Q35" s="10">
        <v>836627391</v>
      </c>
      <c r="R35" s="10">
        <v>2959136614</v>
      </c>
      <c r="S35" s="10">
        <v>2954122134</v>
      </c>
      <c r="T35" s="10">
        <f t="shared" si="1"/>
        <v>5014480</v>
      </c>
      <c r="U35" s="105">
        <v>42643</v>
      </c>
    </row>
    <row r="36" spans="2:21" x14ac:dyDescent="0.25">
      <c r="B36" s="5">
        <v>75</v>
      </c>
      <c r="C36" s="55">
        <v>1014</v>
      </c>
      <c r="D36" s="55">
        <v>10</v>
      </c>
      <c r="E36" s="55">
        <v>1053</v>
      </c>
      <c r="F36" s="55">
        <v>8</v>
      </c>
      <c r="G36" s="28">
        <v>35693079086</v>
      </c>
      <c r="H36" s="28">
        <v>33560436386</v>
      </c>
      <c r="I36" s="28">
        <v>2984425000</v>
      </c>
      <c r="J36" s="56">
        <v>22560126650</v>
      </c>
      <c r="K36" s="56">
        <v>4541093050</v>
      </c>
      <c r="L36" s="29">
        <v>0</v>
      </c>
      <c r="M36" s="29">
        <v>20941350250</v>
      </c>
      <c r="N36" s="29">
        <v>2088927400</v>
      </c>
      <c r="O36" s="29">
        <v>1312300900</v>
      </c>
      <c r="P36" s="28">
        <v>3115368459</v>
      </c>
      <c r="Q36" s="28">
        <v>116070009</v>
      </c>
      <c r="R36" s="29">
        <v>4071757568</v>
      </c>
      <c r="S36" s="28">
        <v>3923659300</v>
      </c>
      <c r="T36" s="29">
        <f t="shared" si="1"/>
        <v>148098268</v>
      </c>
      <c r="U36" s="106">
        <v>42643</v>
      </c>
    </row>
    <row r="37" spans="2:21" x14ac:dyDescent="0.25">
      <c r="B37" s="3">
        <v>81</v>
      </c>
      <c r="C37" s="12">
        <v>360</v>
      </c>
      <c r="D37" s="12">
        <v>5</v>
      </c>
      <c r="E37" s="12">
        <v>330</v>
      </c>
      <c r="F37" s="12">
        <v>6</v>
      </c>
      <c r="G37" s="12">
        <v>8356819282</v>
      </c>
      <c r="H37" s="12">
        <v>8003236732</v>
      </c>
      <c r="I37" s="12">
        <v>955960000</v>
      </c>
      <c r="J37" s="12">
        <v>5582499700</v>
      </c>
      <c r="K37" s="12">
        <v>1012916750</v>
      </c>
      <c r="L37" s="20"/>
      <c r="M37" s="12">
        <v>4580163800</v>
      </c>
      <c r="N37" s="32">
        <v>1155451000</v>
      </c>
      <c r="O37" s="32">
        <v>23777200</v>
      </c>
      <c r="P37" s="12">
        <v>324761658</v>
      </c>
      <c r="Q37" s="12">
        <v>59266289</v>
      </c>
      <c r="R37" s="13">
        <v>835343186</v>
      </c>
      <c r="S37" s="13">
        <v>841114401</v>
      </c>
      <c r="T37" s="13">
        <f t="shared" si="1"/>
        <v>-5771215</v>
      </c>
      <c r="U37" s="104">
        <v>42643</v>
      </c>
    </row>
    <row r="38" spans="2:21" x14ac:dyDescent="0.25">
      <c r="B38" s="3">
        <v>82</v>
      </c>
      <c r="C38" s="13">
        <v>490</v>
      </c>
      <c r="D38" s="13"/>
      <c r="E38" s="13">
        <v>597</v>
      </c>
      <c r="F38" s="20"/>
      <c r="G38" s="12">
        <v>3521689864</v>
      </c>
      <c r="H38" s="12">
        <v>2900635280</v>
      </c>
      <c r="I38" s="13">
        <v>324772600</v>
      </c>
      <c r="J38" s="13">
        <v>1371889800</v>
      </c>
      <c r="K38" s="13">
        <v>1149882835</v>
      </c>
      <c r="L38" s="57">
        <v>171665200</v>
      </c>
      <c r="M38" s="13">
        <v>2437119850</v>
      </c>
      <c r="N38" s="13">
        <v>170388900</v>
      </c>
      <c r="O38" s="13">
        <v>4822100</v>
      </c>
      <c r="P38" s="12">
        <v>124747870</v>
      </c>
      <c r="Q38" s="12">
        <v>119526931</v>
      </c>
      <c r="R38" s="12">
        <v>248655636</v>
      </c>
      <c r="S38" s="12">
        <v>230389613</v>
      </c>
      <c r="T38" s="13">
        <f t="shared" si="1"/>
        <v>18266023</v>
      </c>
      <c r="U38" s="104">
        <v>42643</v>
      </c>
    </row>
    <row r="39" spans="2:21" x14ac:dyDescent="0.25">
      <c r="B39" s="2">
        <v>1</v>
      </c>
      <c r="C39" s="7">
        <v>27687</v>
      </c>
      <c r="D39" s="7"/>
      <c r="E39" s="7">
        <v>24362</v>
      </c>
      <c r="F39" s="7"/>
      <c r="G39" s="7">
        <v>549444642009</v>
      </c>
      <c r="H39" s="7">
        <v>499622379994</v>
      </c>
      <c r="I39" s="7">
        <v>90761414525</v>
      </c>
      <c r="J39" s="7">
        <v>331809620455</v>
      </c>
      <c r="K39" s="7">
        <v>90275986583</v>
      </c>
      <c r="L39" s="7">
        <v>0</v>
      </c>
      <c r="M39" s="7">
        <v>421038067742</v>
      </c>
      <c r="N39" s="11">
        <v>24515738968</v>
      </c>
      <c r="O39" s="11">
        <v>11930485950</v>
      </c>
      <c r="P39" s="7">
        <v>8110528500</v>
      </c>
      <c r="Q39" s="7">
        <v>527537818</v>
      </c>
      <c r="R39" s="9">
        <v>41647398600</v>
      </c>
      <c r="S39" s="7">
        <v>40515802413</v>
      </c>
      <c r="T39" s="7">
        <f t="shared" si="1"/>
        <v>1131596187</v>
      </c>
      <c r="U39" s="103">
        <v>42613</v>
      </c>
    </row>
    <row r="40" spans="2:21" x14ac:dyDescent="0.25">
      <c r="B40" s="2">
        <v>7</v>
      </c>
      <c r="C40" s="7">
        <v>3443</v>
      </c>
      <c r="D40" s="7">
        <v>638</v>
      </c>
      <c r="E40" s="7">
        <v>3722</v>
      </c>
      <c r="F40" s="7">
        <v>618</v>
      </c>
      <c r="G40" s="7">
        <v>94510737350</v>
      </c>
      <c r="H40" s="7">
        <v>88170403300</v>
      </c>
      <c r="I40" s="10">
        <f>3649834700+5363924950</f>
        <v>9013759650</v>
      </c>
      <c r="J40" s="27">
        <v>66213004600</v>
      </c>
      <c r="K40" s="27">
        <v>12446553400</v>
      </c>
      <c r="L40" s="27">
        <v>0</v>
      </c>
      <c r="M40" s="7">
        <v>76135942450</v>
      </c>
      <c r="N40" s="11">
        <f>8443255075-4241498075</f>
        <v>4201757000</v>
      </c>
      <c r="O40" s="11">
        <f>8443255075-N40</f>
        <v>4241498075</v>
      </c>
      <c r="P40" s="7">
        <v>1118159100</v>
      </c>
      <c r="Q40" s="7">
        <v>116291100</v>
      </c>
      <c r="R40" s="7">
        <f>6384279650+254834900</f>
        <v>6639114550</v>
      </c>
      <c r="S40" s="7">
        <f>6590568850</f>
        <v>6590568850</v>
      </c>
      <c r="T40" s="7">
        <f t="shared" si="1"/>
        <v>48545700</v>
      </c>
      <c r="U40" s="103">
        <v>42613</v>
      </c>
    </row>
    <row r="41" spans="2:21" x14ac:dyDescent="0.25">
      <c r="B41" s="3">
        <v>12</v>
      </c>
      <c r="C41" s="12">
        <v>7241</v>
      </c>
      <c r="D41" s="13">
        <v>0</v>
      </c>
      <c r="E41" s="12">
        <v>5292</v>
      </c>
      <c r="F41" s="13">
        <v>0</v>
      </c>
      <c r="G41" s="12">
        <v>81368062202</v>
      </c>
      <c r="H41" s="12">
        <v>73281071275</v>
      </c>
      <c r="I41" s="59">
        <v>13332512400</v>
      </c>
      <c r="J41" s="20">
        <v>48691795310</v>
      </c>
      <c r="K41" s="20">
        <v>7844289154</v>
      </c>
      <c r="L41" s="13">
        <f>320750000+520750000</f>
        <v>841500000</v>
      </c>
      <c r="M41" s="13">
        <v>63348839050</v>
      </c>
      <c r="N41" s="13">
        <f>13929038650-O41</f>
        <v>11431865350</v>
      </c>
      <c r="O41" s="13">
        <v>2497173300</v>
      </c>
      <c r="P41" s="13">
        <v>3142487804</v>
      </c>
      <c r="Q41" s="13">
        <v>3061693399</v>
      </c>
      <c r="R41" s="13">
        <v>7232833781</v>
      </c>
      <c r="S41" s="13">
        <v>7281741555</v>
      </c>
      <c r="T41" s="13">
        <f t="shared" si="1"/>
        <v>-48907774</v>
      </c>
      <c r="U41" s="104">
        <v>42613</v>
      </c>
    </row>
    <row r="42" spans="2:21" x14ac:dyDescent="0.25">
      <c r="B42" s="2">
        <v>14</v>
      </c>
      <c r="C42" s="9">
        <v>10487</v>
      </c>
      <c r="D42" s="9">
        <v>475</v>
      </c>
      <c r="E42" s="9">
        <v>6625</v>
      </c>
      <c r="F42" s="9">
        <v>445</v>
      </c>
      <c r="G42" s="9">
        <v>185888451340</v>
      </c>
      <c r="H42" s="9">
        <v>159705763977</v>
      </c>
      <c r="I42" s="9">
        <v>23500195350</v>
      </c>
      <c r="J42" s="9">
        <v>99877886829</v>
      </c>
      <c r="K42" s="9">
        <v>44864570334</v>
      </c>
      <c r="L42" s="7">
        <v>0</v>
      </c>
      <c r="M42" s="9">
        <v>136495500600</v>
      </c>
      <c r="N42" s="11">
        <v>27639457000</v>
      </c>
      <c r="O42" s="11">
        <v>3553425700</v>
      </c>
      <c r="P42" s="9">
        <v>3311234915</v>
      </c>
      <c r="Q42" s="9">
        <v>7242216041</v>
      </c>
      <c r="R42" s="9">
        <v>14761714634</v>
      </c>
      <c r="S42" s="9">
        <v>14245602900</v>
      </c>
      <c r="T42" s="7">
        <f t="shared" si="1"/>
        <v>516111734</v>
      </c>
      <c r="U42" s="103">
        <v>42613</v>
      </c>
    </row>
    <row r="43" spans="2:21" x14ac:dyDescent="0.25">
      <c r="B43" s="4">
        <v>35</v>
      </c>
      <c r="C43" s="16">
        <v>221</v>
      </c>
      <c r="D43" s="16"/>
      <c r="E43" s="16">
        <v>260</v>
      </c>
      <c r="F43" s="10"/>
      <c r="G43" s="16">
        <v>10868604170</v>
      </c>
      <c r="H43" s="16">
        <v>9876819660</v>
      </c>
      <c r="I43" s="16">
        <v>886658050</v>
      </c>
      <c r="J43" s="16">
        <v>1382327875</v>
      </c>
      <c r="K43" s="16">
        <v>1726722472</v>
      </c>
      <c r="L43" s="16">
        <v>732959000</v>
      </c>
      <c r="M43" s="16">
        <v>9544956625</v>
      </c>
      <c r="N43" s="10">
        <v>0</v>
      </c>
      <c r="O43" s="10">
        <v>0</v>
      </c>
      <c r="P43" s="16">
        <v>56394007</v>
      </c>
      <c r="Q43" s="16">
        <v>158258722</v>
      </c>
      <c r="R43" s="16">
        <v>735364058</v>
      </c>
      <c r="S43" s="16">
        <v>393456051</v>
      </c>
      <c r="T43" s="10">
        <f t="shared" si="1"/>
        <v>341908007</v>
      </c>
      <c r="U43" s="105">
        <v>42613</v>
      </c>
    </row>
    <row r="44" spans="2:21" x14ac:dyDescent="0.25">
      <c r="B44" s="3">
        <v>40</v>
      </c>
      <c r="C44" s="12">
        <v>10957</v>
      </c>
      <c r="D44" s="19"/>
      <c r="E44" s="12">
        <v>11118</v>
      </c>
      <c r="F44" s="13">
        <v>0</v>
      </c>
      <c r="G44" s="12">
        <v>243760304604.57233</v>
      </c>
      <c r="H44" s="12">
        <v>202018561646.23898</v>
      </c>
      <c r="I44" s="25">
        <v>28972478600</v>
      </c>
      <c r="J44" s="21">
        <v>133359116540</v>
      </c>
      <c r="K44" s="21">
        <v>50948012595.26001</v>
      </c>
      <c r="L44" s="22"/>
      <c r="M44" s="48">
        <v>172809503525</v>
      </c>
      <c r="N44" s="60">
        <v>29885777662</v>
      </c>
      <c r="O44" s="60">
        <v>36813970025</v>
      </c>
      <c r="P44" s="24">
        <v>2990620000</v>
      </c>
      <c r="Q44" s="25">
        <v>8607469864.1259995</v>
      </c>
      <c r="R44" s="21">
        <v>17451772059.650002</v>
      </c>
      <c r="S44" s="21">
        <v>17448171108.761002</v>
      </c>
      <c r="T44" s="13">
        <f t="shared" si="1"/>
        <v>3600950.888999939</v>
      </c>
      <c r="U44" s="104">
        <v>42613</v>
      </c>
    </row>
    <row r="45" spans="2:21" x14ac:dyDescent="0.25">
      <c r="B45" s="3">
        <v>46</v>
      </c>
      <c r="C45" s="13">
        <v>1950</v>
      </c>
      <c r="D45" s="13">
        <v>64</v>
      </c>
      <c r="E45" s="13">
        <v>1380</v>
      </c>
      <c r="F45" s="13">
        <v>33</v>
      </c>
      <c r="G45" s="13">
        <v>35223833904.540001</v>
      </c>
      <c r="H45" s="13">
        <v>29165103151.330002</v>
      </c>
      <c r="I45" s="13">
        <v>4291809823</v>
      </c>
      <c r="J45" s="13">
        <v>24207125474</v>
      </c>
      <c r="K45" s="13">
        <v>2410736704</v>
      </c>
      <c r="L45" s="13">
        <v>3069535400</v>
      </c>
      <c r="M45" s="13">
        <v>25811247631</v>
      </c>
      <c r="N45" s="13">
        <v>4212386300</v>
      </c>
      <c r="O45" s="13">
        <v>948235750</v>
      </c>
      <c r="P45" s="13">
        <v>841791398</v>
      </c>
      <c r="Q45" s="13">
        <v>283795499</v>
      </c>
      <c r="R45" s="13">
        <v>2968747503.1500001</v>
      </c>
      <c r="S45" s="13">
        <v>3150964381.4000001</v>
      </c>
      <c r="T45" s="13">
        <f t="shared" si="1"/>
        <v>-182216878.25</v>
      </c>
      <c r="U45" s="104">
        <v>42613</v>
      </c>
    </row>
    <row r="46" spans="2:21" x14ac:dyDescent="0.25">
      <c r="B46" s="2">
        <v>53</v>
      </c>
      <c r="C46" s="37">
        <v>11251</v>
      </c>
      <c r="D46" s="37"/>
      <c r="E46" s="37">
        <v>10051</v>
      </c>
      <c r="F46" s="7">
        <v>0</v>
      </c>
      <c r="G46" s="9">
        <v>266216524823</v>
      </c>
      <c r="H46" s="9">
        <v>253009081112</v>
      </c>
      <c r="I46" s="9">
        <v>35381855070</v>
      </c>
      <c r="J46" s="9">
        <v>155429495925</v>
      </c>
      <c r="K46" s="9">
        <v>38911562930</v>
      </c>
      <c r="L46" s="27">
        <v>0</v>
      </c>
      <c r="M46" s="9">
        <v>175599585000</v>
      </c>
      <c r="N46" s="61">
        <v>22922130500</v>
      </c>
      <c r="O46" s="61">
        <v>10383186250</v>
      </c>
      <c r="P46" s="9">
        <v>11734922013</v>
      </c>
      <c r="Q46" s="9">
        <v>4116510076</v>
      </c>
      <c r="R46" s="9">
        <v>15850259931</v>
      </c>
      <c r="S46" s="9">
        <v>15482643781</v>
      </c>
      <c r="T46" s="7">
        <f t="shared" si="1"/>
        <v>367616150</v>
      </c>
      <c r="U46" s="103">
        <v>42613</v>
      </c>
    </row>
    <row r="47" spans="2:21" x14ac:dyDescent="0.25">
      <c r="B47" s="6">
        <v>54</v>
      </c>
      <c r="C47" s="31">
        <v>4670</v>
      </c>
      <c r="D47" s="31">
        <v>692</v>
      </c>
      <c r="E47" s="31">
        <v>3496</v>
      </c>
      <c r="F47" s="31">
        <v>503</v>
      </c>
      <c r="G47" s="32">
        <v>105754765901.80475</v>
      </c>
      <c r="H47" s="32">
        <v>100305185075.47142</v>
      </c>
      <c r="I47" s="43">
        <v>13082503700</v>
      </c>
      <c r="J47" s="43">
        <v>65940642222</v>
      </c>
      <c r="K47" s="43">
        <v>18742369722</v>
      </c>
      <c r="L47" s="43">
        <v>33331400</v>
      </c>
      <c r="M47" s="43">
        <v>87362297096</v>
      </c>
      <c r="N47" s="43">
        <v>15925456060</v>
      </c>
      <c r="O47" s="43">
        <v>8190344700</v>
      </c>
      <c r="P47" s="43">
        <v>2801034706.5299997</v>
      </c>
      <c r="Q47" s="32">
        <v>1333817533.0133328</v>
      </c>
      <c r="R47" s="32">
        <v>7336772013.9800005</v>
      </c>
      <c r="S47" s="32">
        <v>7481682334.4285717</v>
      </c>
      <c r="T47" s="31">
        <f t="shared" si="1"/>
        <v>-144910320.44857121</v>
      </c>
      <c r="U47" s="107">
        <v>42613</v>
      </c>
    </row>
    <row r="48" spans="2:21" x14ac:dyDescent="0.25">
      <c r="B48" s="4">
        <v>59</v>
      </c>
      <c r="C48" s="10">
        <v>5025</v>
      </c>
      <c r="D48" s="10">
        <v>241</v>
      </c>
      <c r="E48" s="10">
        <v>5276</v>
      </c>
      <c r="F48" s="10">
        <v>223</v>
      </c>
      <c r="G48" s="10">
        <v>158198963567</v>
      </c>
      <c r="H48" s="10">
        <v>149617417741</v>
      </c>
      <c r="I48" s="10">
        <v>19028804400</v>
      </c>
      <c r="J48" s="10">
        <v>63858527150</v>
      </c>
      <c r="K48" s="10">
        <v>61122623029</v>
      </c>
      <c r="L48" s="10">
        <v>0</v>
      </c>
      <c r="M48" s="10">
        <v>110767170930</v>
      </c>
      <c r="N48" s="10">
        <v>11552654660</v>
      </c>
      <c r="O48" s="10">
        <v>15163131250</v>
      </c>
      <c r="P48" s="10">
        <v>5562531518</v>
      </c>
      <c r="Q48" s="10">
        <v>395893834</v>
      </c>
      <c r="R48" s="10">
        <f>11867974998+695533863</f>
        <v>12563508861</v>
      </c>
      <c r="S48" s="10">
        <f>6294801950+5653009608+57655697</f>
        <v>12005467255</v>
      </c>
      <c r="T48" s="10">
        <f t="shared" si="1"/>
        <v>558041606</v>
      </c>
      <c r="U48" s="105">
        <v>42613</v>
      </c>
    </row>
    <row r="49" spans="2:21" x14ac:dyDescent="0.25">
      <c r="B49" s="4">
        <v>69</v>
      </c>
      <c r="C49" s="10">
        <v>2888</v>
      </c>
      <c r="D49" s="15"/>
      <c r="E49" s="10">
        <v>2658</v>
      </c>
      <c r="F49" s="10">
        <v>0</v>
      </c>
      <c r="G49" s="42">
        <v>48211365818</v>
      </c>
      <c r="H49" s="42">
        <v>45022176818</v>
      </c>
      <c r="I49" s="10">
        <v>4142895400</v>
      </c>
      <c r="J49" s="10">
        <v>26326355193</v>
      </c>
      <c r="K49" s="10">
        <v>12609582816</v>
      </c>
      <c r="L49" s="42">
        <v>1100000000</v>
      </c>
      <c r="M49" s="10">
        <v>34868825740</v>
      </c>
      <c r="N49" s="10">
        <v>4918136600</v>
      </c>
      <c r="O49" s="10">
        <v>1227729400</v>
      </c>
      <c r="P49" s="42">
        <v>1645592003</v>
      </c>
      <c r="Q49" s="42">
        <v>108367784</v>
      </c>
      <c r="R49" s="42">
        <v>3711534539</v>
      </c>
      <c r="S49" s="42">
        <v>3701374730</v>
      </c>
      <c r="T49" s="10">
        <f t="shared" si="1"/>
        <v>10159809</v>
      </c>
      <c r="U49" s="105">
        <v>42613</v>
      </c>
    </row>
    <row r="50" spans="2:21" x14ac:dyDescent="0.25">
      <c r="B50" s="6">
        <v>76</v>
      </c>
      <c r="C50" s="31">
        <v>1203</v>
      </c>
      <c r="D50" s="34"/>
      <c r="E50" s="31">
        <v>998</v>
      </c>
      <c r="F50" s="31"/>
      <c r="G50" s="31">
        <v>42011291999</v>
      </c>
      <c r="H50" s="31">
        <v>41480744499</v>
      </c>
      <c r="I50" s="31">
        <v>2996457600</v>
      </c>
      <c r="J50" s="31">
        <v>21373403850</v>
      </c>
      <c r="K50" s="31">
        <v>15206209574</v>
      </c>
      <c r="L50" s="31">
        <v>0</v>
      </c>
      <c r="M50" s="31">
        <v>28522201100</v>
      </c>
      <c r="N50" s="31">
        <v>55585496</v>
      </c>
      <c r="O50" s="31">
        <v>0</v>
      </c>
      <c r="P50" s="36">
        <v>0</v>
      </c>
      <c r="Q50" s="31">
        <v>714514670</v>
      </c>
      <c r="R50" s="31">
        <v>2997267094</v>
      </c>
      <c r="S50" s="31">
        <v>2745033682</v>
      </c>
      <c r="T50" s="31">
        <f t="shared" si="1"/>
        <v>252233412</v>
      </c>
      <c r="U50" s="107">
        <v>42613</v>
      </c>
    </row>
    <row r="51" spans="2:21" x14ac:dyDescent="0.25">
      <c r="B51" s="2">
        <v>79</v>
      </c>
      <c r="C51" s="7">
        <v>287</v>
      </c>
      <c r="D51" s="7">
        <v>26</v>
      </c>
      <c r="E51" s="10">
        <v>261</v>
      </c>
      <c r="F51" s="10">
        <v>42</v>
      </c>
      <c r="G51" s="7">
        <v>10365975743</v>
      </c>
      <c r="H51" s="7">
        <v>10027772343</v>
      </c>
      <c r="I51" s="38">
        <v>967134000</v>
      </c>
      <c r="J51" s="38">
        <v>5429767000</v>
      </c>
      <c r="K51" s="7">
        <v>990423800</v>
      </c>
      <c r="L51" s="7">
        <v>0</v>
      </c>
      <c r="M51" s="7">
        <v>5785384800</v>
      </c>
      <c r="N51" s="11">
        <v>95851100</v>
      </c>
      <c r="O51" s="11">
        <v>504681400</v>
      </c>
      <c r="P51" s="7">
        <v>491654593</v>
      </c>
      <c r="Q51" s="7">
        <v>189764250</v>
      </c>
      <c r="R51" s="7">
        <v>907237404</v>
      </c>
      <c r="S51" s="7">
        <v>732587304</v>
      </c>
      <c r="T51" s="7">
        <f t="shared" si="1"/>
        <v>174650100</v>
      </c>
      <c r="U51" s="103">
        <v>42613</v>
      </c>
    </row>
    <row r="52" spans="2:21" x14ac:dyDescent="0.25">
      <c r="B52" s="4">
        <v>80</v>
      </c>
      <c r="C52" s="39">
        <v>149</v>
      </c>
      <c r="D52" s="15"/>
      <c r="E52" s="39">
        <v>253</v>
      </c>
      <c r="F52" s="10">
        <v>0</v>
      </c>
      <c r="G52" s="10">
        <v>1565823395.911</v>
      </c>
      <c r="H52" s="10">
        <v>1526953476.911</v>
      </c>
      <c r="I52" s="10">
        <v>191873927.80000001</v>
      </c>
      <c r="J52" s="10">
        <v>317250490.89999998</v>
      </c>
      <c r="K52" s="10">
        <v>147872450.69999999</v>
      </c>
      <c r="L52" s="44">
        <v>0</v>
      </c>
      <c r="M52" s="10">
        <v>724428146.12100005</v>
      </c>
      <c r="N52" s="40">
        <v>109865451.69119999</v>
      </c>
      <c r="O52" s="40">
        <v>18585602.719999999</v>
      </c>
      <c r="P52" s="10">
        <v>230080295</v>
      </c>
      <c r="Q52" s="10">
        <v>4265540.0999999996</v>
      </c>
      <c r="R52" s="41">
        <v>140788462.01100001</v>
      </c>
      <c r="S52" s="41">
        <v>186223390.30000001</v>
      </c>
      <c r="T52" s="10">
        <f t="shared" si="1"/>
        <v>-45434928.289000005</v>
      </c>
      <c r="U52" s="105">
        <v>42613</v>
      </c>
    </row>
    <row r="53" spans="2:21" x14ac:dyDescent="0.25">
      <c r="B53" s="6">
        <v>83</v>
      </c>
      <c r="C53" s="31">
        <v>944</v>
      </c>
      <c r="D53" s="31">
        <v>0</v>
      </c>
      <c r="E53" s="31">
        <v>1220</v>
      </c>
      <c r="F53" s="31">
        <v>0</v>
      </c>
      <c r="G53" s="22">
        <v>7585926530</v>
      </c>
      <c r="H53" s="22">
        <v>7334214104</v>
      </c>
      <c r="I53" s="31">
        <v>1379910000</v>
      </c>
      <c r="J53" s="31">
        <v>5448068506</v>
      </c>
      <c r="K53" s="31">
        <f>5648633549-J53</f>
        <v>200565043</v>
      </c>
      <c r="L53" s="31">
        <v>0</v>
      </c>
      <c r="M53" s="31">
        <v>4762370000</v>
      </c>
      <c r="N53" s="31">
        <f>705697200+165716200</f>
        <v>871413400</v>
      </c>
      <c r="O53" s="31">
        <v>183862600</v>
      </c>
      <c r="P53" s="31">
        <v>141109691</v>
      </c>
      <c r="Q53" s="31">
        <v>49033930</v>
      </c>
      <c r="R53" s="31">
        <v>631898702</v>
      </c>
      <c r="S53" s="31">
        <v>672593628</v>
      </c>
      <c r="T53" s="31">
        <f t="shared" si="1"/>
        <v>-40694926</v>
      </c>
      <c r="U53" s="107">
        <v>42613</v>
      </c>
    </row>
    <row r="54" spans="2:21" x14ac:dyDescent="0.25">
      <c r="B54" s="4">
        <v>84</v>
      </c>
      <c r="C54" s="10">
        <v>445</v>
      </c>
      <c r="D54" s="10"/>
      <c r="E54" s="10">
        <v>593</v>
      </c>
      <c r="F54" s="44">
        <v>0</v>
      </c>
      <c r="G54" s="42">
        <v>6852605921</v>
      </c>
      <c r="H54" s="42">
        <v>5703400534</v>
      </c>
      <c r="I54" s="10">
        <v>556878979</v>
      </c>
      <c r="J54" s="10">
        <v>4686491912</v>
      </c>
      <c r="K54" s="10">
        <v>950283602</v>
      </c>
      <c r="L54" s="42">
        <v>300000000</v>
      </c>
      <c r="M54" s="10">
        <v>4585052700</v>
      </c>
      <c r="N54" s="14">
        <v>588884500</v>
      </c>
      <c r="O54" s="14">
        <v>45598500</v>
      </c>
      <c r="P54" s="42">
        <v>148960175</v>
      </c>
      <c r="Q54" s="42">
        <v>43390627</v>
      </c>
      <c r="R54" s="42">
        <v>685171283</v>
      </c>
      <c r="S54" s="42">
        <v>682053933</v>
      </c>
      <c r="T54" s="10">
        <f t="shared" si="1"/>
        <v>3117350</v>
      </c>
      <c r="U54" s="105">
        <v>42613</v>
      </c>
    </row>
    <row r="55" spans="2:21" x14ac:dyDescent="0.25">
      <c r="B55" s="3">
        <v>39</v>
      </c>
      <c r="C55" s="13">
        <v>23153</v>
      </c>
      <c r="D55" s="13">
        <v>1337</v>
      </c>
      <c r="E55" s="13">
        <v>20292</v>
      </c>
      <c r="F55" s="13">
        <v>1377</v>
      </c>
      <c r="G55" s="13">
        <v>859387176972</v>
      </c>
      <c r="H55" s="13">
        <v>782972533199</v>
      </c>
      <c r="I55" s="13">
        <v>84108554403</v>
      </c>
      <c r="J55" s="13">
        <v>558288525763</v>
      </c>
      <c r="K55" s="26">
        <v>166082996760</v>
      </c>
      <c r="L55" s="20"/>
      <c r="M55" s="13">
        <v>687455039918.28052</v>
      </c>
      <c r="N55" s="13">
        <v>104463740240</v>
      </c>
      <c r="O55" s="13">
        <v>100800497831</v>
      </c>
      <c r="P55" s="13">
        <v>19304480406</v>
      </c>
      <c r="Q55" s="13">
        <v>5025245428</v>
      </c>
      <c r="R55" s="13">
        <v>53010505930</v>
      </c>
      <c r="S55" s="13">
        <f>54176998304+844277838</f>
        <v>55021276142</v>
      </c>
      <c r="T55" s="13">
        <f t="shared" si="1"/>
        <v>-2010770212</v>
      </c>
      <c r="U55" s="104">
        <v>42613</v>
      </c>
    </row>
    <row r="56" spans="2:21" x14ac:dyDescent="0.25">
      <c r="B56" s="4">
        <v>44</v>
      </c>
      <c r="C56" s="16">
        <v>3954</v>
      </c>
      <c r="D56" s="15"/>
      <c r="E56" s="10">
        <v>4040</v>
      </c>
      <c r="F56" s="10"/>
      <c r="G56" s="10">
        <v>161115871400.33334</v>
      </c>
      <c r="H56" s="10">
        <v>154136364277</v>
      </c>
      <c r="I56" s="10">
        <v>12641869000</v>
      </c>
      <c r="J56" s="10">
        <v>86170047516</v>
      </c>
      <c r="K56" s="10">
        <v>49592699611</v>
      </c>
      <c r="L56" s="44"/>
      <c r="M56" s="10">
        <v>127348387268</v>
      </c>
      <c r="N56" s="10">
        <v>30048610017</v>
      </c>
      <c r="O56" s="10">
        <v>7129064075</v>
      </c>
      <c r="P56" s="10">
        <v>6166923249</v>
      </c>
      <c r="Q56" s="10">
        <v>1067406596</v>
      </c>
      <c r="R56" s="10">
        <v>10441361375</v>
      </c>
      <c r="S56" s="10">
        <v>11460459068.666666</v>
      </c>
      <c r="T56" s="10">
        <f t="shared" si="1"/>
        <v>-1019097693.666666</v>
      </c>
      <c r="U56" s="105">
        <v>42613</v>
      </c>
    </row>
    <row r="57" spans="2:21" x14ac:dyDescent="0.25">
      <c r="B57" s="4">
        <v>45</v>
      </c>
      <c r="C57" s="10">
        <v>17945</v>
      </c>
      <c r="D57" s="15"/>
      <c r="E57" s="10">
        <v>21235</v>
      </c>
      <c r="F57" s="10">
        <v>0</v>
      </c>
      <c r="G57" s="42">
        <v>756466188671</v>
      </c>
      <c r="H57" s="42">
        <v>739488710200</v>
      </c>
      <c r="I57" s="10">
        <v>59371950375</v>
      </c>
      <c r="J57" s="10">
        <v>505674286793</v>
      </c>
      <c r="K57" s="10">
        <v>117060082546</v>
      </c>
      <c r="L57" s="44">
        <v>0</v>
      </c>
      <c r="M57" s="10">
        <v>504385919772</v>
      </c>
      <c r="N57" s="10">
        <v>51702392600</v>
      </c>
      <c r="O57" s="10">
        <v>9876522600</v>
      </c>
      <c r="P57" s="42">
        <v>23687089736</v>
      </c>
      <c r="Q57" s="42">
        <v>30593689490</v>
      </c>
      <c r="R57" s="42">
        <v>53760295548</v>
      </c>
      <c r="S57" s="42">
        <v>52849003115</v>
      </c>
      <c r="T57" s="10">
        <f t="shared" si="1"/>
        <v>911292433</v>
      </c>
      <c r="U57" s="105">
        <v>42613</v>
      </c>
    </row>
    <row r="58" spans="2:21" x14ac:dyDescent="0.25">
      <c r="B58" s="58">
        <v>48</v>
      </c>
      <c r="C58" s="19">
        <v>7432</v>
      </c>
      <c r="D58" s="19">
        <v>611</v>
      </c>
      <c r="E58" s="19">
        <v>5532</v>
      </c>
      <c r="F58" s="19">
        <v>575</v>
      </c>
      <c r="G58" s="63">
        <v>260136976553.29999</v>
      </c>
      <c r="H58" s="63">
        <v>250954895062.29999</v>
      </c>
      <c r="I58" s="64">
        <v>20061344250.299999</v>
      </c>
      <c r="J58" s="63">
        <v>195721825616</v>
      </c>
      <c r="K58" s="63">
        <v>36164706210</v>
      </c>
      <c r="L58" s="20">
        <v>0</v>
      </c>
      <c r="M58" s="64">
        <v>158354972074</v>
      </c>
      <c r="N58" s="64">
        <v>21527511733</v>
      </c>
      <c r="O58" s="63">
        <v>13752793295</v>
      </c>
      <c r="P58" s="63">
        <v>8358220002</v>
      </c>
      <c r="Q58" s="63">
        <v>6910913524</v>
      </c>
      <c r="R58" s="63">
        <f>15990515931+2376130820</f>
        <v>18366646751</v>
      </c>
      <c r="S58" s="63">
        <f>19345611966+394267919</f>
        <v>19739879885</v>
      </c>
      <c r="T58" s="65">
        <f t="shared" si="1"/>
        <v>-1373233134</v>
      </c>
      <c r="U58" s="108">
        <v>42613</v>
      </c>
    </row>
    <row r="59" spans="2:21" x14ac:dyDescent="0.25">
      <c r="B59" s="4">
        <v>49</v>
      </c>
      <c r="C59" s="66">
        <v>2746</v>
      </c>
      <c r="D59" s="66">
        <v>206</v>
      </c>
      <c r="E59" s="44">
        <v>3010</v>
      </c>
      <c r="F59" s="44">
        <v>200</v>
      </c>
      <c r="G59" s="18">
        <v>94894546919</v>
      </c>
      <c r="H59" s="10">
        <v>86938644154</v>
      </c>
      <c r="I59" s="10">
        <v>7910585400</v>
      </c>
      <c r="J59" s="10">
        <v>69945981723</v>
      </c>
      <c r="K59" s="10">
        <v>8786817550</v>
      </c>
      <c r="L59" s="44"/>
      <c r="M59" s="18">
        <v>84421045100</v>
      </c>
      <c r="N59" s="46">
        <v>21672945675</v>
      </c>
      <c r="O59" s="46">
        <v>17213382825</v>
      </c>
      <c r="P59" s="10">
        <v>2855205078</v>
      </c>
      <c r="Q59" s="10">
        <v>1224182104</v>
      </c>
      <c r="R59" s="67">
        <v>7248840511</v>
      </c>
      <c r="S59" s="67">
        <v>7237293728</v>
      </c>
      <c r="T59" s="16">
        <f t="shared" si="1"/>
        <v>11546783</v>
      </c>
      <c r="U59" s="105">
        <v>42613</v>
      </c>
    </row>
    <row r="60" spans="2:21" x14ac:dyDescent="0.25">
      <c r="B60" s="6">
        <v>58</v>
      </c>
      <c r="C60" s="35">
        <v>2970</v>
      </c>
      <c r="D60" s="35">
        <v>241</v>
      </c>
      <c r="E60" s="35">
        <v>2580</v>
      </c>
      <c r="F60" s="35">
        <v>259</v>
      </c>
      <c r="G60" s="31">
        <v>65066296822</v>
      </c>
      <c r="H60" s="31">
        <v>50745717591</v>
      </c>
      <c r="I60" s="31">
        <v>12416778945</v>
      </c>
      <c r="J60" s="31">
        <v>82030012991</v>
      </c>
      <c r="K60" s="32">
        <v>27339377088</v>
      </c>
      <c r="L60" s="31">
        <v>1699940000</v>
      </c>
      <c r="M60" s="31">
        <v>44907512627</v>
      </c>
      <c r="N60" s="22">
        <v>6641342308</v>
      </c>
      <c r="O60" s="22">
        <v>3702734664</v>
      </c>
      <c r="P60" s="22">
        <v>822998675.39999998</v>
      </c>
      <c r="Q60" s="22">
        <v>960680933.20000005</v>
      </c>
      <c r="R60" s="31">
        <v>5266858048</v>
      </c>
      <c r="S60" s="31">
        <v>8319782881</v>
      </c>
      <c r="T60" s="31">
        <f t="shared" si="1"/>
        <v>-3052924833</v>
      </c>
      <c r="U60" s="107">
        <v>42613</v>
      </c>
    </row>
    <row r="61" spans="2:21" x14ac:dyDescent="0.25">
      <c r="B61" s="4">
        <v>55</v>
      </c>
      <c r="C61" s="42">
        <v>1770</v>
      </c>
      <c r="D61" s="42">
        <v>177</v>
      </c>
      <c r="E61" s="42">
        <v>1313</v>
      </c>
      <c r="F61" s="42">
        <v>157</v>
      </c>
      <c r="G61" s="42">
        <v>37109642690</v>
      </c>
      <c r="H61" s="42">
        <v>27478425828</v>
      </c>
      <c r="I61" s="42">
        <v>5115299300</v>
      </c>
      <c r="J61" s="42">
        <v>21042077416</v>
      </c>
      <c r="K61" s="42">
        <v>7852415350</v>
      </c>
      <c r="L61" s="44"/>
      <c r="M61" s="42">
        <v>22446901450</v>
      </c>
      <c r="N61" s="42">
        <v>1894971000</v>
      </c>
      <c r="O61" s="42">
        <v>10513097900</v>
      </c>
      <c r="P61" s="42">
        <v>2065183774</v>
      </c>
      <c r="Q61" s="42">
        <v>377796417</v>
      </c>
      <c r="R61" s="42">
        <f>809688650+94265692</f>
        <v>903954342</v>
      </c>
      <c r="S61" s="42">
        <v>1893885064</v>
      </c>
      <c r="T61" s="10">
        <f>R61-S61</f>
        <v>-989930722</v>
      </c>
      <c r="U61" s="105">
        <v>42613</v>
      </c>
    </row>
    <row r="62" spans="2:21" x14ac:dyDescent="0.25">
      <c r="B62" s="2">
        <v>60</v>
      </c>
      <c r="C62" s="7">
        <v>1513</v>
      </c>
      <c r="D62" s="7">
        <v>106</v>
      </c>
      <c r="E62" s="7">
        <v>2035</v>
      </c>
      <c r="F62" s="7">
        <v>93</v>
      </c>
      <c r="G62" s="9">
        <v>34531525165</v>
      </c>
      <c r="H62" s="9">
        <v>32256377434</v>
      </c>
      <c r="I62" s="9">
        <v>5048300000</v>
      </c>
      <c r="J62" s="9">
        <v>17664645000</v>
      </c>
      <c r="K62" s="9">
        <v>6794878000</v>
      </c>
      <c r="L62" s="27"/>
      <c r="M62" s="9">
        <v>23002089500</v>
      </c>
      <c r="N62" s="9">
        <v>3756399000</v>
      </c>
      <c r="O62" s="9">
        <v>6917074500</v>
      </c>
      <c r="P62" s="9">
        <v>2576356810</v>
      </c>
      <c r="Q62" s="9">
        <v>370771845</v>
      </c>
      <c r="R62" s="7">
        <v>1653529601</v>
      </c>
      <c r="S62" s="7">
        <v>1624658231</v>
      </c>
      <c r="T62" s="7">
        <f t="shared" ref="T62:T97" si="2">R62-S62</f>
        <v>28871370</v>
      </c>
      <c r="U62" s="103">
        <v>42613</v>
      </c>
    </row>
    <row r="63" spans="2:21" x14ac:dyDescent="0.25">
      <c r="B63" s="4">
        <v>61</v>
      </c>
      <c r="C63" s="16">
        <v>1395</v>
      </c>
      <c r="D63" s="16">
        <v>134</v>
      </c>
      <c r="E63" s="16">
        <v>134</v>
      </c>
      <c r="F63" s="16">
        <v>124</v>
      </c>
      <c r="G63" s="18">
        <v>43945390458</v>
      </c>
      <c r="H63" s="18">
        <v>40531415908</v>
      </c>
      <c r="I63" s="18">
        <v>4853910000</v>
      </c>
      <c r="J63" s="10">
        <v>25793869800</v>
      </c>
      <c r="K63" s="10">
        <v>7850765350</v>
      </c>
      <c r="L63" s="18">
        <v>55000000</v>
      </c>
      <c r="M63" s="18">
        <v>32306581550</v>
      </c>
      <c r="N63" s="18">
        <v>2022229150</v>
      </c>
      <c r="O63" s="18">
        <v>3503200150</v>
      </c>
      <c r="P63" s="18">
        <v>1772440337</v>
      </c>
      <c r="Q63" s="18">
        <v>362719037</v>
      </c>
      <c r="R63" s="18">
        <v>3207571543</v>
      </c>
      <c r="S63" s="18">
        <v>3120908250</v>
      </c>
      <c r="T63" s="10">
        <f t="shared" si="2"/>
        <v>86663293</v>
      </c>
      <c r="U63" s="105">
        <v>42613</v>
      </c>
    </row>
    <row r="64" spans="2:21" x14ac:dyDescent="0.25">
      <c r="B64" s="2">
        <v>62</v>
      </c>
      <c r="C64" s="7">
        <v>10624</v>
      </c>
      <c r="D64" s="7">
        <v>1634</v>
      </c>
      <c r="E64" s="7">
        <v>17297</v>
      </c>
      <c r="F64" s="7">
        <v>1658</v>
      </c>
      <c r="G64" s="9">
        <v>378922092145</v>
      </c>
      <c r="H64" s="9">
        <v>348914525599</v>
      </c>
      <c r="I64" s="9">
        <v>51157798650</v>
      </c>
      <c r="J64" s="9">
        <v>208897967725</v>
      </c>
      <c r="K64" s="9">
        <v>70852794525</v>
      </c>
      <c r="L64" s="9">
        <v>187500000</v>
      </c>
      <c r="M64" s="9">
        <v>227753218000</v>
      </c>
      <c r="N64" s="9">
        <v>13422643000</v>
      </c>
      <c r="O64" s="9">
        <v>703095200</v>
      </c>
      <c r="P64" s="9">
        <v>19261241115</v>
      </c>
      <c r="Q64" s="9">
        <v>3660674281</v>
      </c>
      <c r="R64" s="68">
        <v>30543856786</v>
      </c>
      <c r="S64" s="9">
        <v>30069714467</v>
      </c>
      <c r="T64" s="7">
        <f t="shared" si="2"/>
        <v>474142319</v>
      </c>
      <c r="U64" s="103">
        <v>42613</v>
      </c>
    </row>
    <row r="65" spans="2:21" x14ac:dyDescent="0.25">
      <c r="B65" s="4">
        <v>64</v>
      </c>
      <c r="C65" s="46">
        <v>5247</v>
      </c>
      <c r="D65" s="42">
        <v>5284</v>
      </c>
      <c r="E65" s="42">
        <v>418</v>
      </c>
      <c r="F65" s="42">
        <v>5316</v>
      </c>
      <c r="G65" s="42">
        <v>166957654904</v>
      </c>
      <c r="H65" s="42">
        <v>161576870164</v>
      </c>
      <c r="I65" s="42">
        <v>17147390000</v>
      </c>
      <c r="J65" s="42">
        <v>87231901550</v>
      </c>
      <c r="K65" s="42">
        <v>45786180075</v>
      </c>
      <c r="L65" s="10">
        <v>0</v>
      </c>
      <c r="M65" s="42">
        <v>102977939500</v>
      </c>
      <c r="N65" s="42">
        <v>3689596700</v>
      </c>
      <c r="O65" s="42">
        <v>138122900</v>
      </c>
      <c r="P65" s="42">
        <v>6608358091</v>
      </c>
      <c r="Q65" s="42">
        <v>1769256085</v>
      </c>
      <c r="R65" s="42">
        <v>15221672292</v>
      </c>
      <c r="S65" s="42">
        <v>15276041172</v>
      </c>
      <c r="T65" s="10">
        <f t="shared" si="2"/>
        <v>-54368880</v>
      </c>
      <c r="U65" s="105">
        <v>42613</v>
      </c>
    </row>
    <row r="66" spans="2:21" x14ac:dyDescent="0.25">
      <c r="B66" s="3">
        <v>65</v>
      </c>
      <c r="C66" s="23">
        <v>1684</v>
      </c>
      <c r="D66" s="23">
        <v>64</v>
      </c>
      <c r="E66" s="23">
        <v>1446</v>
      </c>
      <c r="F66" s="23">
        <v>53</v>
      </c>
      <c r="G66" s="48">
        <v>61310838146</v>
      </c>
      <c r="H66" s="48">
        <v>59815451190</v>
      </c>
      <c r="I66" s="48">
        <v>4526135000</v>
      </c>
      <c r="J66" s="69">
        <v>38303692900</v>
      </c>
      <c r="K66" s="31">
        <v>12507340900</v>
      </c>
      <c r="L66" s="13">
        <v>0</v>
      </c>
      <c r="M66" s="48">
        <v>41918650000</v>
      </c>
      <c r="N66" s="48">
        <v>4457183700</v>
      </c>
      <c r="O66" s="48">
        <v>2623041350</v>
      </c>
      <c r="P66" s="48">
        <v>1789711992</v>
      </c>
      <c r="Q66" s="48">
        <v>310806582</v>
      </c>
      <c r="R66" s="13">
        <v>3552293383</v>
      </c>
      <c r="S66" s="48">
        <v>3385400399</v>
      </c>
      <c r="T66" s="13">
        <f t="shared" si="2"/>
        <v>166892984</v>
      </c>
      <c r="U66" s="104">
        <v>42613</v>
      </c>
    </row>
    <row r="67" spans="2:21" x14ac:dyDescent="0.25">
      <c r="B67" s="2">
        <v>66</v>
      </c>
      <c r="C67" s="7">
        <v>4452</v>
      </c>
      <c r="D67" s="7">
        <v>4470</v>
      </c>
      <c r="E67" s="7">
        <v>289</v>
      </c>
      <c r="F67" s="7">
        <v>4852</v>
      </c>
      <c r="G67" s="9">
        <v>126498428618</v>
      </c>
      <c r="H67" s="9">
        <v>119498307216</v>
      </c>
      <c r="I67" s="9">
        <v>13201925000</v>
      </c>
      <c r="J67" s="7">
        <v>78065467035</v>
      </c>
      <c r="K67" s="49">
        <v>25157607340</v>
      </c>
      <c r="L67" s="27"/>
      <c r="M67" s="7">
        <v>93255530300</v>
      </c>
      <c r="N67" s="70">
        <v>8057538730</v>
      </c>
      <c r="O67" s="71">
        <v>1443894450</v>
      </c>
      <c r="P67" s="9">
        <v>2081552270</v>
      </c>
      <c r="Q67" s="9">
        <v>334153401</v>
      </c>
      <c r="R67" s="9">
        <v>8152898480</v>
      </c>
      <c r="S67" s="9">
        <v>8535055189</v>
      </c>
      <c r="T67" s="7">
        <f t="shared" si="2"/>
        <v>-382156709</v>
      </c>
      <c r="U67" s="103">
        <v>42613</v>
      </c>
    </row>
    <row r="68" spans="2:21" x14ac:dyDescent="0.25">
      <c r="B68" s="2">
        <v>67</v>
      </c>
      <c r="C68" s="7">
        <v>10086</v>
      </c>
      <c r="D68" s="7">
        <v>952</v>
      </c>
      <c r="E68" s="7">
        <v>13217</v>
      </c>
      <c r="F68" s="7">
        <v>951</v>
      </c>
      <c r="G68" s="7">
        <v>328035631308</v>
      </c>
      <c r="H68" s="9">
        <v>319140413280</v>
      </c>
      <c r="I68" s="9">
        <v>44172959200</v>
      </c>
      <c r="J68" s="9">
        <v>170861557600</v>
      </c>
      <c r="K68" s="9">
        <v>77274297950</v>
      </c>
      <c r="L68" s="27"/>
      <c r="M68" s="9">
        <v>227445981200</v>
      </c>
      <c r="N68" s="7">
        <v>21775988500</v>
      </c>
      <c r="O68" s="9">
        <v>6470509550</v>
      </c>
      <c r="P68" s="7">
        <v>11239011087</v>
      </c>
      <c r="Q68" s="9">
        <v>3603389361</v>
      </c>
      <c r="R68" s="7">
        <v>21200727750</v>
      </c>
      <c r="S68" s="7">
        <f>20549772180+159069243</f>
        <v>20708841423</v>
      </c>
      <c r="T68" s="7">
        <f t="shared" si="2"/>
        <v>491886327</v>
      </c>
      <c r="U68" s="103">
        <v>42613</v>
      </c>
    </row>
    <row r="69" spans="2:21" x14ac:dyDescent="0.25">
      <c r="B69" s="2">
        <v>68</v>
      </c>
      <c r="C69" s="51">
        <v>1007</v>
      </c>
      <c r="D69" s="37"/>
      <c r="E69" s="51">
        <v>1568</v>
      </c>
      <c r="F69" s="7">
        <v>0</v>
      </c>
      <c r="G69" s="7">
        <v>25095400566</v>
      </c>
      <c r="H69" s="7">
        <v>21574568340</v>
      </c>
      <c r="I69" s="51">
        <v>2565360900</v>
      </c>
      <c r="J69" s="7">
        <v>11346312070</v>
      </c>
      <c r="K69" s="7">
        <v>6297825431</v>
      </c>
      <c r="L69" s="7">
        <v>1666666000</v>
      </c>
      <c r="M69" s="53">
        <v>15744451680</v>
      </c>
      <c r="N69" s="51">
        <v>1415226480</v>
      </c>
      <c r="O69" s="51">
        <v>380585300</v>
      </c>
      <c r="P69" s="7">
        <v>922243397</v>
      </c>
      <c r="Q69" s="7">
        <v>363987202</v>
      </c>
      <c r="R69" s="7">
        <v>2497383303</v>
      </c>
      <c r="S69" s="9">
        <v>2394471247</v>
      </c>
      <c r="T69" s="7">
        <f t="shared" si="2"/>
        <v>102912056</v>
      </c>
      <c r="U69" s="103">
        <v>42613</v>
      </c>
    </row>
    <row r="70" spans="2:21" x14ac:dyDescent="0.25">
      <c r="B70" s="2">
        <v>71</v>
      </c>
      <c r="C70" s="37">
        <v>1851</v>
      </c>
      <c r="D70" s="37">
        <v>81</v>
      </c>
      <c r="E70" s="37">
        <v>2827</v>
      </c>
      <c r="F70" s="37">
        <v>88</v>
      </c>
      <c r="G70" s="9">
        <v>71803539289</v>
      </c>
      <c r="H70" s="42">
        <v>63967404028</v>
      </c>
      <c r="I70" s="7">
        <v>8591339000</v>
      </c>
      <c r="J70" s="7">
        <v>39074819450</v>
      </c>
      <c r="K70" s="7">
        <v>11679296449</v>
      </c>
      <c r="L70" s="27"/>
      <c r="M70" s="9">
        <v>51301819800</v>
      </c>
      <c r="N70" s="7">
        <v>7082316700</v>
      </c>
      <c r="O70" s="7">
        <v>6100826700</v>
      </c>
      <c r="P70" s="9">
        <v>6397556657</v>
      </c>
      <c r="Q70" s="9">
        <v>1119333741</v>
      </c>
      <c r="R70" s="9">
        <v>4253207618</v>
      </c>
      <c r="S70" s="9">
        <v>4208921250</v>
      </c>
      <c r="T70" s="7">
        <f t="shared" si="2"/>
        <v>44286368</v>
      </c>
      <c r="U70" s="103">
        <v>42613</v>
      </c>
    </row>
    <row r="71" spans="2:21" x14ac:dyDescent="0.25">
      <c r="B71" s="2">
        <v>72</v>
      </c>
      <c r="C71" s="9">
        <v>603</v>
      </c>
      <c r="D71" s="9">
        <v>125</v>
      </c>
      <c r="E71" s="9">
        <v>807</v>
      </c>
      <c r="F71" s="9">
        <v>97</v>
      </c>
      <c r="G71" s="7">
        <v>14516214303</v>
      </c>
      <c r="H71" s="7">
        <v>13818081904</v>
      </c>
      <c r="I71" s="7">
        <f>1632000000+697010000</f>
        <v>2329010000</v>
      </c>
      <c r="J71" s="7">
        <f>8610453600</f>
        <v>8610453600</v>
      </c>
      <c r="K71" s="61">
        <f>10329510800-J71</f>
        <v>1719057200</v>
      </c>
      <c r="L71" s="7">
        <v>0</v>
      </c>
      <c r="M71" s="7">
        <v>9212383650</v>
      </c>
      <c r="N71" s="7">
        <v>1900151450</v>
      </c>
      <c r="O71" s="7">
        <v>244499100</v>
      </c>
      <c r="P71" s="7">
        <v>554181500</v>
      </c>
      <c r="Q71" s="7">
        <v>167976845</v>
      </c>
      <c r="R71" s="7">
        <v>1321848613</v>
      </c>
      <c r="S71" s="7">
        <v>1330222430</v>
      </c>
      <c r="T71" s="7">
        <f t="shared" si="2"/>
        <v>-8373817</v>
      </c>
      <c r="U71" s="103">
        <v>42613</v>
      </c>
    </row>
    <row r="72" spans="2:21" x14ac:dyDescent="0.25">
      <c r="B72" s="4">
        <v>74</v>
      </c>
      <c r="C72" s="42">
        <v>521</v>
      </c>
      <c r="D72" s="42">
        <v>116</v>
      </c>
      <c r="E72" s="15">
        <v>588</v>
      </c>
      <c r="F72" s="42">
        <v>97</v>
      </c>
      <c r="G72" s="10">
        <v>40568339083</v>
      </c>
      <c r="H72" s="10">
        <v>38964716286</v>
      </c>
      <c r="I72" s="10">
        <v>4208007000</v>
      </c>
      <c r="J72" s="10">
        <v>21410354882</v>
      </c>
      <c r="K72" s="10">
        <v>9026500472</v>
      </c>
      <c r="L72" s="10">
        <v>749000000</v>
      </c>
      <c r="M72" s="10">
        <v>34901711000</v>
      </c>
      <c r="N72" s="42">
        <v>5303102000</v>
      </c>
      <c r="O72" s="42">
        <v>113802000</v>
      </c>
      <c r="P72" s="10">
        <v>1695169143</v>
      </c>
      <c r="Q72" s="10">
        <v>829679391</v>
      </c>
      <c r="R72" s="10">
        <v>2652263252</v>
      </c>
      <c r="S72" s="10">
        <v>2643910878</v>
      </c>
      <c r="T72" s="10">
        <f t="shared" si="2"/>
        <v>8352374</v>
      </c>
      <c r="U72" s="105">
        <v>42613</v>
      </c>
    </row>
    <row r="73" spans="2:21" x14ac:dyDescent="0.25">
      <c r="B73" s="2">
        <v>75</v>
      </c>
      <c r="C73" s="10">
        <v>1021</v>
      </c>
      <c r="D73" s="10">
        <v>9</v>
      </c>
      <c r="E73" s="10">
        <v>1066</v>
      </c>
      <c r="F73" s="10">
        <v>7</v>
      </c>
      <c r="G73" s="9">
        <v>35501639962</v>
      </c>
      <c r="H73" s="9">
        <v>33417881362</v>
      </c>
      <c r="I73" s="7">
        <v>2995920000</v>
      </c>
      <c r="J73" s="38">
        <v>22537863750</v>
      </c>
      <c r="K73" s="38">
        <v>4395600750</v>
      </c>
      <c r="L73" s="7">
        <v>0</v>
      </c>
      <c r="M73" s="7">
        <v>20864243450</v>
      </c>
      <c r="N73" s="7">
        <v>1911565100</v>
      </c>
      <c r="O73" s="7">
        <v>1396798550</v>
      </c>
      <c r="P73" s="9">
        <v>3133614509</v>
      </c>
      <c r="Q73" s="9">
        <v>124274209</v>
      </c>
      <c r="R73" s="9">
        <v>2463829894</v>
      </c>
      <c r="S73" s="9">
        <v>2323947750</v>
      </c>
      <c r="T73" s="7">
        <f t="shared" si="2"/>
        <v>139882144</v>
      </c>
      <c r="U73" s="103">
        <v>42613</v>
      </c>
    </row>
    <row r="74" spans="2:21" x14ac:dyDescent="0.25">
      <c r="B74" s="2">
        <v>81</v>
      </c>
      <c r="C74" s="9">
        <v>358</v>
      </c>
      <c r="D74" s="9">
        <v>5</v>
      </c>
      <c r="E74" s="9">
        <v>329</v>
      </c>
      <c r="F74" s="9">
        <v>6</v>
      </c>
      <c r="G74" s="9">
        <v>8238286533</v>
      </c>
      <c r="H74" s="9">
        <v>7880799933</v>
      </c>
      <c r="I74" s="9">
        <v>947370000</v>
      </c>
      <c r="J74" s="9">
        <v>5521792650</v>
      </c>
      <c r="K74" s="9">
        <v>963658700</v>
      </c>
      <c r="L74" s="27"/>
      <c r="M74" s="9">
        <v>4686084500</v>
      </c>
      <c r="N74" s="42">
        <v>974213200</v>
      </c>
      <c r="O74" s="42">
        <v>23777200</v>
      </c>
      <c r="P74" s="9">
        <v>318189158</v>
      </c>
      <c r="Q74" s="9">
        <v>59266289</v>
      </c>
      <c r="R74" s="7">
        <v>764272466</v>
      </c>
      <c r="S74" s="7">
        <v>751302880</v>
      </c>
      <c r="T74" s="7">
        <f t="shared" si="2"/>
        <v>12969586</v>
      </c>
      <c r="U74" s="103">
        <v>42613</v>
      </c>
    </row>
    <row r="75" spans="2:21" x14ac:dyDescent="0.25">
      <c r="B75" s="2">
        <v>82</v>
      </c>
      <c r="C75" s="7">
        <v>492</v>
      </c>
      <c r="D75" s="7"/>
      <c r="E75" s="7">
        <v>588</v>
      </c>
      <c r="F75" s="7"/>
      <c r="G75" s="9">
        <v>3433914680</v>
      </c>
      <c r="H75" s="9">
        <v>2819075096</v>
      </c>
      <c r="I75" s="9">
        <v>320448100</v>
      </c>
      <c r="J75" s="9">
        <v>1340841100</v>
      </c>
      <c r="K75" s="9">
        <v>1110629735</v>
      </c>
      <c r="L75" s="72">
        <v>173331900</v>
      </c>
      <c r="M75" s="9">
        <v>2437691450</v>
      </c>
      <c r="N75" s="11">
        <v>189350650</v>
      </c>
      <c r="O75" s="11">
        <v>4822100</v>
      </c>
      <c r="P75" s="9">
        <v>106590470</v>
      </c>
      <c r="Q75" s="9">
        <v>118685831</v>
      </c>
      <c r="R75" s="9">
        <v>218871602</v>
      </c>
      <c r="S75" s="9">
        <v>203005963</v>
      </c>
      <c r="T75" s="7">
        <f t="shared" si="2"/>
        <v>15865639</v>
      </c>
      <c r="U75" s="103">
        <v>42613</v>
      </c>
    </row>
    <row r="76" spans="2:21" x14ac:dyDescent="0.25">
      <c r="B76" s="2">
        <v>1</v>
      </c>
      <c r="C76" s="7">
        <v>24960</v>
      </c>
      <c r="D76" s="7">
        <v>3218</v>
      </c>
      <c r="E76" s="7">
        <v>21908</v>
      </c>
      <c r="F76" s="7">
        <v>2932</v>
      </c>
      <c r="G76" s="7">
        <v>545721126540</v>
      </c>
      <c r="H76" s="7">
        <v>495739328025</v>
      </c>
      <c r="I76" s="7">
        <v>90562339775</v>
      </c>
      <c r="J76" s="7">
        <v>330945636418</v>
      </c>
      <c r="K76" s="7">
        <f>419759695819-J76</f>
        <v>88814059401</v>
      </c>
      <c r="L76" s="7">
        <v>0</v>
      </c>
      <c r="M76" s="7">
        <v>421386331357</v>
      </c>
      <c r="N76" s="11">
        <v>26788170468</v>
      </c>
      <c r="O76" s="11">
        <v>11814559650</v>
      </c>
      <c r="P76" s="7">
        <v>7975635100</v>
      </c>
      <c r="Q76" s="7">
        <v>510687218</v>
      </c>
      <c r="R76" s="7">
        <v>36311774149</v>
      </c>
      <c r="S76" s="7">
        <f>35319097480+21015360</f>
        <v>35340112840</v>
      </c>
      <c r="T76" s="7">
        <f t="shared" si="2"/>
        <v>971661309</v>
      </c>
      <c r="U76" s="103">
        <v>42582</v>
      </c>
    </row>
    <row r="77" spans="2:21" x14ac:dyDescent="0.25">
      <c r="B77" s="2">
        <v>7</v>
      </c>
      <c r="C77" s="7">
        <v>3413</v>
      </c>
      <c r="D77" s="7">
        <v>630</v>
      </c>
      <c r="E77" s="7">
        <v>3690</v>
      </c>
      <c r="F77" s="7">
        <v>606</v>
      </c>
      <c r="G77" s="7">
        <v>92786790750</v>
      </c>
      <c r="H77" s="7">
        <v>86437206950</v>
      </c>
      <c r="I77" s="7">
        <v>8839187250</v>
      </c>
      <c r="J77" s="7">
        <v>66213004600</v>
      </c>
      <c r="K77" s="7">
        <v>12446553400</v>
      </c>
      <c r="L77" s="7">
        <v>0</v>
      </c>
      <c r="M77" s="7">
        <v>75181780250</v>
      </c>
      <c r="N77" s="11">
        <f>1937380550+1108279400+1170144750</f>
        <v>4215804700</v>
      </c>
      <c r="O77" s="11">
        <v>3715876075</v>
      </c>
      <c r="P77" s="7">
        <v>1106468850</v>
      </c>
      <c r="Q77" s="7">
        <v>110720850</v>
      </c>
      <c r="R77" s="7">
        <f>5568756200+227665100</f>
        <v>5796421300</v>
      </c>
      <c r="S77" s="7">
        <f>5740821300+2422450</f>
        <v>5743243750</v>
      </c>
      <c r="T77" s="7">
        <f t="shared" si="2"/>
        <v>53177550</v>
      </c>
      <c r="U77" s="103">
        <v>42582</v>
      </c>
    </row>
    <row r="78" spans="2:21" x14ac:dyDescent="0.25">
      <c r="B78" s="2">
        <v>12</v>
      </c>
      <c r="C78" s="9">
        <v>7199</v>
      </c>
      <c r="D78" s="7">
        <v>0</v>
      </c>
      <c r="E78" s="9">
        <v>5240</v>
      </c>
      <c r="F78" s="7">
        <v>0</v>
      </c>
      <c r="G78" s="9">
        <v>81259502519</v>
      </c>
      <c r="H78" s="9">
        <v>73205559960</v>
      </c>
      <c r="I78" s="9">
        <v>13332512400</v>
      </c>
      <c r="J78" s="7">
        <v>48691795310</v>
      </c>
      <c r="K78" s="7">
        <v>7844289154</v>
      </c>
      <c r="L78" s="7">
        <v>875500000</v>
      </c>
      <c r="M78" s="7">
        <v>63483222922</v>
      </c>
      <c r="N78" s="11">
        <v>11231469750</v>
      </c>
      <c r="O78" s="11">
        <v>2527454550</v>
      </c>
      <c r="P78" s="7">
        <v>3141716438</v>
      </c>
      <c r="Q78" s="7">
        <v>3050116552</v>
      </c>
      <c r="R78" s="7">
        <v>6347524958</v>
      </c>
      <c r="S78" s="7">
        <v>6350629721</v>
      </c>
      <c r="T78" s="7">
        <f t="shared" si="2"/>
        <v>-3104763</v>
      </c>
      <c r="U78" s="103">
        <v>42582</v>
      </c>
    </row>
    <row r="79" spans="2:21" x14ac:dyDescent="0.25">
      <c r="B79" s="2">
        <v>14</v>
      </c>
      <c r="C79" s="7">
        <v>10447</v>
      </c>
      <c r="D79" s="7">
        <v>474</v>
      </c>
      <c r="E79" s="7">
        <v>6573</v>
      </c>
      <c r="F79" s="7">
        <v>449</v>
      </c>
      <c r="G79" s="7">
        <v>184117265455</v>
      </c>
      <c r="H79" s="7">
        <v>157835887682</v>
      </c>
      <c r="I79" s="7">
        <f>7553934000+15868941350</f>
        <v>23422875350</v>
      </c>
      <c r="J79" s="7">
        <v>98447790331</v>
      </c>
      <c r="K79" s="7">
        <f>141231273055-98447790331</f>
        <v>42783482724</v>
      </c>
      <c r="L79" s="7">
        <v>0</v>
      </c>
      <c r="M79" s="7">
        <v>136021552900</v>
      </c>
      <c r="N79" s="11">
        <v>29057973300</v>
      </c>
      <c r="O79" s="11">
        <v>3527900700</v>
      </c>
      <c r="P79" s="7">
        <v>3287123928</v>
      </c>
      <c r="Q79" s="7">
        <v>7240454007</v>
      </c>
      <c r="R79" s="7">
        <f>12357331800+481437683</f>
        <v>12838769483</v>
      </c>
      <c r="S79" s="7">
        <f>13133113671</f>
        <v>13133113671</v>
      </c>
      <c r="T79" s="7">
        <f t="shared" si="2"/>
        <v>-294344188</v>
      </c>
      <c r="U79" s="103">
        <v>42582</v>
      </c>
    </row>
    <row r="80" spans="2:21" x14ac:dyDescent="0.25">
      <c r="B80" s="2">
        <v>40</v>
      </c>
      <c r="C80" s="7">
        <v>10939</v>
      </c>
      <c r="D80" s="7">
        <v>0</v>
      </c>
      <c r="E80" s="7">
        <v>11105</v>
      </c>
      <c r="F80" s="7">
        <v>0</v>
      </c>
      <c r="G80" s="9">
        <v>243400523654.99234</v>
      </c>
      <c r="H80" s="9">
        <v>201927910696.659</v>
      </c>
      <c r="I80" s="9">
        <v>38878450100</v>
      </c>
      <c r="J80" s="9">
        <v>133840759615</v>
      </c>
      <c r="K80" s="7">
        <v>50193802970.26001</v>
      </c>
      <c r="L80" s="74">
        <v>-5000</v>
      </c>
      <c r="M80" s="61">
        <v>175530461750</v>
      </c>
      <c r="N80" s="38">
        <v>28807396762</v>
      </c>
      <c r="O80" s="38">
        <v>36801294425</v>
      </c>
      <c r="P80" s="75">
        <v>8517127564.1260004</v>
      </c>
      <c r="Q80" s="38">
        <v>4674576968.4460001</v>
      </c>
      <c r="R80" s="76">
        <v>15489559376.26</v>
      </c>
      <c r="S80" s="76">
        <v>15251214474.951</v>
      </c>
      <c r="T80" s="7">
        <f t="shared" si="2"/>
        <v>238344901.30900002</v>
      </c>
      <c r="U80" s="103">
        <v>42582</v>
      </c>
    </row>
    <row r="81" spans="2:21" x14ac:dyDescent="0.25">
      <c r="B81" s="2">
        <v>46</v>
      </c>
      <c r="C81" s="7">
        <v>1953</v>
      </c>
      <c r="D81" s="7">
        <v>64</v>
      </c>
      <c r="E81" s="7">
        <v>1373</v>
      </c>
      <c r="F81" s="7">
        <v>33</v>
      </c>
      <c r="G81" s="7">
        <v>34630857171.68</v>
      </c>
      <c r="H81" s="7">
        <v>28558670848.470001</v>
      </c>
      <c r="I81" s="7">
        <v>4264425523</v>
      </c>
      <c r="J81" s="7">
        <v>23881207674</v>
      </c>
      <c r="K81" s="7">
        <v>2222488079</v>
      </c>
      <c r="L81" s="7">
        <f>3108359400+174840000</f>
        <v>3283199400</v>
      </c>
      <c r="M81" s="7">
        <v>25901868831</v>
      </c>
      <c r="N81" s="7">
        <v>753694300</v>
      </c>
      <c r="O81" s="7">
        <v>1016415050</v>
      </c>
      <c r="P81" s="7">
        <v>835667898</v>
      </c>
      <c r="Q81" s="7">
        <v>281600599</v>
      </c>
      <c r="R81" s="7">
        <v>2585065892.3200002</v>
      </c>
      <c r="S81" s="7">
        <v>2777854478.4300003</v>
      </c>
      <c r="T81" s="7">
        <f t="shared" si="2"/>
        <v>-192788586.11000013</v>
      </c>
      <c r="U81" s="103">
        <v>42582</v>
      </c>
    </row>
    <row r="82" spans="2:21" x14ac:dyDescent="0.25">
      <c r="B82" s="2">
        <v>53</v>
      </c>
      <c r="C82" s="27">
        <v>11251</v>
      </c>
      <c r="D82" s="27">
        <v>0</v>
      </c>
      <c r="E82" s="27">
        <v>10051</v>
      </c>
      <c r="F82" s="27">
        <v>0</v>
      </c>
      <c r="G82" s="9">
        <v>263499927949</v>
      </c>
      <c r="H82" s="9">
        <v>250227584084</v>
      </c>
      <c r="I82" s="9">
        <v>35156203370</v>
      </c>
      <c r="J82" s="9">
        <v>154470046725</v>
      </c>
      <c r="K82" s="9">
        <v>38065689390</v>
      </c>
      <c r="L82" s="7">
        <v>0</v>
      </c>
      <c r="M82" s="9">
        <v>174961636700</v>
      </c>
      <c r="N82" s="61">
        <v>22238689400</v>
      </c>
      <c r="O82" s="61">
        <v>10464134950</v>
      </c>
      <c r="P82" s="9">
        <v>11671244313</v>
      </c>
      <c r="Q82" s="9">
        <v>4103463876</v>
      </c>
      <c r="R82" s="9">
        <f>11773773781+1978677581</f>
        <v>13752451362</v>
      </c>
      <c r="S82" s="9">
        <f>13428205489</f>
        <v>13428205489</v>
      </c>
      <c r="T82" s="7">
        <f t="shared" si="2"/>
        <v>324245873</v>
      </c>
      <c r="U82" s="103">
        <v>42582</v>
      </c>
    </row>
    <row r="83" spans="2:21" x14ac:dyDescent="0.25">
      <c r="B83" s="4">
        <v>54</v>
      </c>
      <c r="C83" s="10">
        <v>4699</v>
      </c>
      <c r="D83" s="10">
        <v>689</v>
      </c>
      <c r="E83" s="10">
        <v>3486</v>
      </c>
      <c r="F83" s="10">
        <v>498</v>
      </c>
      <c r="G83" s="42">
        <v>105399380473</v>
      </c>
      <c r="H83" s="42">
        <v>100105975647</v>
      </c>
      <c r="I83" s="42">
        <f>8807516000+4253492700</f>
        <v>13061008700</v>
      </c>
      <c r="J83" s="42">
        <v>66145124062</v>
      </c>
      <c r="K83" s="42">
        <f>84433083934-J83</f>
        <v>18287959872</v>
      </c>
      <c r="L83" s="77">
        <v>49998100</v>
      </c>
      <c r="M83" s="18">
        <v>87252550086</v>
      </c>
      <c r="N83" s="18">
        <v>19987296210</v>
      </c>
      <c r="O83" s="18">
        <v>8502548400</v>
      </c>
      <c r="P83" s="42">
        <v>2762569407</v>
      </c>
      <c r="Q83" s="42">
        <v>1333817533.0133328</v>
      </c>
      <c r="R83" s="42">
        <f>5982377037+322583229</f>
        <v>6304960266</v>
      </c>
      <c r="S83" s="42">
        <f>4360511200+2155236530</f>
        <v>6515747730</v>
      </c>
      <c r="T83" s="10">
        <f t="shared" si="2"/>
        <v>-210787464</v>
      </c>
      <c r="U83" s="105">
        <v>42582</v>
      </c>
    </row>
    <row r="84" spans="2:21" x14ac:dyDescent="0.25">
      <c r="B84" s="4">
        <v>59</v>
      </c>
      <c r="C84" s="44">
        <v>5242</v>
      </c>
      <c r="D84" s="44">
        <v>237</v>
      </c>
      <c r="E84" s="44">
        <v>5453</v>
      </c>
      <c r="F84" s="44">
        <v>221</v>
      </c>
      <c r="G84" s="10">
        <v>157447951117</v>
      </c>
      <c r="H84" s="10">
        <v>148849620116</v>
      </c>
      <c r="I84" s="10">
        <v>18882414400</v>
      </c>
      <c r="J84" s="10">
        <v>65168877350</v>
      </c>
      <c r="K84" s="10">
        <v>59829363397</v>
      </c>
      <c r="L84" s="10">
        <v>0</v>
      </c>
      <c r="M84" s="10">
        <v>110006724480</v>
      </c>
      <c r="N84" s="10">
        <v>13338401550</v>
      </c>
      <c r="O84" s="10">
        <v>14074244200</v>
      </c>
      <c r="P84" s="10">
        <v>5422316418</v>
      </c>
      <c r="Q84" s="10">
        <v>395893834</v>
      </c>
      <c r="R84" s="10">
        <f>10408645588+559984445</f>
        <v>10968630033</v>
      </c>
      <c r="S84" s="10">
        <f>5578591450+4896749673</f>
        <v>10475341123</v>
      </c>
      <c r="T84" s="10">
        <f t="shared" si="2"/>
        <v>493288910</v>
      </c>
      <c r="U84" s="105">
        <v>42582</v>
      </c>
    </row>
    <row r="85" spans="2:21" x14ac:dyDescent="0.25">
      <c r="B85" s="4">
        <v>69</v>
      </c>
      <c r="C85" s="10">
        <v>2862</v>
      </c>
      <c r="D85" s="15"/>
      <c r="E85" s="10">
        <v>2637</v>
      </c>
      <c r="F85" s="10">
        <v>0</v>
      </c>
      <c r="G85" s="42">
        <v>47673776373</v>
      </c>
      <c r="H85" s="42">
        <v>44496899373</v>
      </c>
      <c r="I85" s="10">
        <v>4095748850</v>
      </c>
      <c r="J85" s="10">
        <v>26193071693</v>
      </c>
      <c r="K85" s="10">
        <v>12332228285</v>
      </c>
      <c r="L85" s="42">
        <v>1125000000</v>
      </c>
      <c r="M85" s="10">
        <v>33983335790</v>
      </c>
      <c r="N85" s="10">
        <v>5391527650</v>
      </c>
      <c r="O85" s="10">
        <v>1227605800</v>
      </c>
      <c r="P85" s="42">
        <v>1644161453</v>
      </c>
      <c r="Q85" s="42">
        <v>108367784</v>
      </c>
      <c r="R85" s="42">
        <v>3201904523</v>
      </c>
      <c r="S85" s="42">
        <v>3198891928</v>
      </c>
      <c r="T85" s="10">
        <f t="shared" si="2"/>
        <v>3012595</v>
      </c>
      <c r="U85" s="105">
        <v>42582</v>
      </c>
    </row>
    <row r="86" spans="2:21" x14ac:dyDescent="0.25">
      <c r="B86" s="6">
        <v>70</v>
      </c>
      <c r="C86" s="31">
        <v>723</v>
      </c>
      <c r="D86" s="31">
        <v>2</v>
      </c>
      <c r="E86" s="31">
        <v>583</v>
      </c>
      <c r="F86" s="31">
        <v>0</v>
      </c>
      <c r="G86" s="32">
        <v>9514235926</v>
      </c>
      <c r="H86" s="32">
        <v>6553392076</v>
      </c>
      <c r="I86" s="31">
        <v>1285583900</v>
      </c>
      <c r="J86" s="32">
        <v>6149407750</v>
      </c>
      <c r="K86" s="32">
        <v>1196327694</v>
      </c>
      <c r="L86" s="62"/>
      <c r="M86" s="31">
        <v>6487942000</v>
      </c>
      <c r="N86" s="31">
        <v>314284000</v>
      </c>
      <c r="O86" s="31">
        <v>1997891300</v>
      </c>
      <c r="P86" s="32">
        <v>147788423</v>
      </c>
      <c r="Q86" s="32">
        <v>3098999</v>
      </c>
      <c r="R86" s="32">
        <f>502838200+25512500</f>
        <v>528350700</v>
      </c>
      <c r="S86" s="32">
        <f>495385250+47900</f>
        <v>495433150</v>
      </c>
      <c r="T86" s="31">
        <f t="shared" si="2"/>
        <v>32917550</v>
      </c>
      <c r="U86" s="107">
        <v>42582</v>
      </c>
    </row>
    <row r="87" spans="2:21" x14ac:dyDescent="0.25">
      <c r="B87" s="4">
        <v>76</v>
      </c>
      <c r="C87" s="10">
        <v>1204</v>
      </c>
      <c r="D87" s="10"/>
      <c r="E87" s="10">
        <v>993</v>
      </c>
      <c r="F87" s="10"/>
      <c r="G87" s="10">
        <v>41348079818</v>
      </c>
      <c r="H87" s="10">
        <v>40841331318</v>
      </c>
      <c r="I87" s="10">
        <v>2971717600</v>
      </c>
      <c r="J87" s="10">
        <v>21150543150</v>
      </c>
      <c r="K87" s="10">
        <v>14814931718</v>
      </c>
      <c r="L87" s="10">
        <v>0</v>
      </c>
      <c r="M87" s="10">
        <v>28246137500</v>
      </c>
      <c r="N87" s="14">
        <v>62780516</v>
      </c>
      <c r="O87" s="14">
        <v>0</v>
      </c>
      <c r="P87" s="78">
        <v>0</v>
      </c>
      <c r="Q87" s="10">
        <v>712979470</v>
      </c>
      <c r="R87" s="10">
        <v>2630327796</v>
      </c>
      <c r="S87" s="10">
        <v>2379282109</v>
      </c>
      <c r="T87" s="10">
        <f t="shared" si="2"/>
        <v>251045687</v>
      </c>
      <c r="U87" s="105">
        <v>42582</v>
      </c>
    </row>
    <row r="88" spans="2:21" x14ac:dyDescent="0.25">
      <c r="B88" s="4">
        <v>78</v>
      </c>
      <c r="C88" s="10">
        <v>522</v>
      </c>
      <c r="D88" s="10">
        <v>3</v>
      </c>
      <c r="E88" s="10">
        <v>685</v>
      </c>
      <c r="F88" s="10">
        <v>3</v>
      </c>
      <c r="G88" s="18">
        <v>15919515250</v>
      </c>
      <c r="H88" s="18">
        <v>15182078051</v>
      </c>
      <c r="I88" s="10">
        <v>1483310000</v>
      </c>
      <c r="J88" s="16">
        <v>4875304150</v>
      </c>
      <c r="K88" s="16">
        <v>6988640793</v>
      </c>
      <c r="L88" s="18">
        <v>10842900</v>
      </c>
      <c r="M88" s="18">
        <v>11433085379</v>
      </c>
      <c r="N88" s="79">
        <v>307307200</v>
      </c>
      <c r="O88" s="79">
        <v>42713500</v>
      </c>
      <c r="P88" s="67">
        <v>451648708</v>
      </c>
      <c r="Q88" s="67">
        <v>535846782</v>
      </c>
      <c r="R88" s="18">
        <v>1070615487</v>
      </c>
      <c r="S88" s="18">
        <v>856877296</v>
      </c>
      <c r="T88" s="10">
        <f t="shared" si="2"/>
        <v>213738191</v>
      </c>
      <c r="U88" s="105">
        <v>42582</v>
      </c>
    </row>
    <row r="89" spans="2:21" x14ac:dyDescent="0.25">
      <c r="B89" s="2">
        <v>79</v>
      </c>
      <c r="C89" s="37">
        <v>283</v>
      </c>
      <c r="D89" s="7">
        <v>27</v>
      </c>
      <c r="E89" s="37">
        <v>259</v>
      </c>
      <c r="F89" s="7">
        <v>42</v>
      </c>
      <c r="G89" s="7">
        <v>10153786131</v>
      </c>
      <c r="H89" s="7">
        <v>9818920731</v>
      </c>
      <c r="I89" s="7">
        <v>956552000</v>
      </c>
      <c r="J89" s="38">
        <v>5218149100</v>
      </c>
      <c r="K89" s="38">
        <v>988666200</v>
      </c>
      <c r="L89" s="7">
        <v>0</v>
      </c>
      <c r="M89" s="7">
        <v>5894379200</v>
      </c>
      <c r="N89" s="11">
        <v>175101500</v>
      </c>
      <c r="O89" s="11">
        <v>468286200</v>
      </c>
      <c r="P89" s="7">
        <v>490407593</v>
      </c>
      <c r="Q89" s="7">
        <v>189140750</v>
      </c>
      <c r="R89" s="7">
        <v>790582910</v>
      </c>
      <c r="S89" s="7">
        <v>643967122</v>
      </c>
      <c r="T89" s="7">
        <f t="shared" si="2"/>
        <v>146615788</v>
      </c>
      <c r="U89" s="103">
        <v>42582</v>
      </c>
    </row>
    <row r="90" spans="2:21" x14ac:dyDescent="0.25">
      <c r="B90" s="4">
        <v>80</v>
      </c>
      <c r="C90" s="39">
        <v>147</v>
      </c>
      <c r="D90" s="44">
        <v>0</v>
      </c>
      <c r="E90" s="39">
        <v>247</v>
      </c>
      <c r="F90" s="44">
        <v>0</v>
      </c>
      <c r="G90" s="10">
        <v>1520314287.1720002</v>
      </c>
      <c r="H90" s="10">
        <v>1169763788.1720002</v>
      </c>
      <c r="I90" s="10">
        <v>187800832</v>
      </c>
      <c r="J90" s="10">
        <v>297926531</v>
      </c>
      <c r="K90" s="10">
        <v>148797496.10000002</v>
      </c>
      <c r="L90" s="10">
        <v>0</v>
      </c>
      <c r="M90" s="10">
        <v>671075984.32200003</v>
      </c>
      <c r="N90" s="40">
        <v>96772068.691199988</v>
      </c>
      <c r="O90" s="80">
        <v>18585602.719999999</v>
      </c>
      <c r="P90" s="10">
        <v>230080295</v>
      </c>
      <c r="Q90" s="10">
        <v>4265540.0999999996</v>
      </c>
      <c r="R90" s="41">
        <v>121557839.07200003</v>
      </c>
      <c r="S90" s="41">
        <v>166571912.09999999</v>
      </c>
      <c r="T90" s="10">
        <f t="shared" si="2"/>
        <v>-45014073.027999967</v>
      </c>
      <c r="U90" s="105">
        <v>42582</v>
      </c>
    </row>
    <row r="91" spans="2:21" x14ac:dyDescent="0.25">
      <c r="B91" s="4">
        <v>83</v>
      </c>
      <c r="C91" s="10">
        <v>943</v>
      </c>
      <c r="D91" s="44">
        <v>0</v>
      </c>
      <c r="E91" s="10">
        <v>1220</v>
      </c>
      <c r="F91" s="44">
        <v>0</v>
      </c>
      <c r="G91" s="10">
        <v>7585926530</v>
      </c>
      <c r="H91" s="10">
        <v>7334214104</v>
      </c>
      <c r="I91" s="10">
        <v>1362670000</v>
      </c>
      <c r="J91" s="10">
        <v>5342354381</v>
      </c>
      <c r="K91" s="10">
        <v>251770198</v>
      </c>
      <c r="L91" s="10">
        <v>0</v>
      </c>
      <c r="M91" s="10">
        <v>4789919200</v>
      </c>
      <c r="N91" s="14">
        <v>822790001</v>
      </c>
      <c r="O91" s="14">
        <v>166972600</v>
      </c>
      <c r="P91" s="10">
        <v>137062542</v>
      </c>
      <c r="Q91" s="10">
        <v>49003100</v>
      </c>
      <c r="R91" s="10">
        <v>553409444</v>
      </c>
      <c r="S91" s="10">
        <v>579811293</v>
      </c>
      <c r="T91" s="10">
        <f t="shared" si="2"/>
        <v>-26401849</v>
      </c>
      <c r="U91" s="105">
        <v>42582</v>
      </c>
    </row>
    <row r="92" spans="2:21" x14ac:dyDescent="0.25">
      <c r="B92" s="4">
        <v>84</v>
      </c>
      <c r="C92" s="10">
        <v>438</v>
      </c>
      <c r="D92" s="10">
        <v>0</v>
      </c>
      <c r="E92" s="10">
        <v>586</v>
      </c>
      <c r="F92" s="10">
        <v>0</v>
      </c>
      <c r="G92" s="42">
        <v>6730087545</v>
      </c>
      <c r="H92" s="10">
        <v>5907703614</v>
      </c>
      <c r="I92" s="10">
        <v>548268979</v>
      </c>
      <c r="J92" s="42">
        <v>4582358812</v>
      </c>
      <c r="K92" s="10">
        <v>934895502</v>
      </c>
      <c r="L92" s="42">
        <v>350000000</v>
      </c>
      <c r="M92" s="10">
        <v>4679213400</v>
      </c>
      <c r="N92" s="14">
        <f>76785200+241581600+67197100+31286900+63803800</f>
        <v>480654600</v>
      </c>
      <c r="O92" s="14">
        <v>45631200</v>
      </c>
      <c r="P92" s="42">
        <v>146169675</v>
      </c>
      <c r="Q92" s="42">
        <v>43390627</v>
      </c>
      <c r="R92" s="42">
        <v>598478746</v>
      </c>
      <c r="S92" s="42">
        <v>595393222</v>
      </c>
      <c r="T92" s="10">
        <f t="shared" si="2"/>
        <v>3085524</v>
      </c>
      <c r="U92" s="105">
        <v>42582</v>
      </c>
    </row>
    <row r="93" spans="2:21" x14ac:dyDescent="0.25">
      <c r="B93" s="2">
        <v>39</v>
      </c>
      <c r="C93" s="7">
        <v>23264</v>
      </c>
      <c r="D93" s="7">
        <v>1336</v>
      </c>
      <c r="E93" s="37">
        <v>20339</v>
      </c>
      <c r="F93" s="37">
        <v>1371</v>
      </c>
      <c r="G93" s="7">
        <v>877159141320</v>
      </c>
      <c r="H93" s="7">
        <v>801761064421</v>
      </c>
      <c r="I93" s="7">
        <v>83656921803</v>
      </c>
      <c r="J93" s="7">
        <v>576568971403</v>
      </c>
      <c r="K93" s="81">
        <v>168229605956</v>
      </c>
      <c r="L93" s="27"/>
      <c r="M93" s="7">
        <v>699565881959.28052</v>
      </c>
      <c r="N93" s="7">
        <v>134464759716</v>
      </c>
      <c r="O93" s="7">
        <v>107352561322</v>
      </c>
      <c r="P93" s="7">
        <v>18697781736</v>
      </c>
      <c r="Q93" s="7">
        <v>5062380418</v>
      </c>
      <c r="R93" s="7">
        <f>43109994602+2345975780</f>
        <v>45455970382</v>
      </c>
      <c r="S93" s="7">
        <f>47509693058+761139950</f>
        <v>48270833008</v>
      </c>
      <c r="T93" s="7">
        <f t="shared" si="2"/>
        <v>-2814862626</v>
      </c>
      <c r="U93" s="103">
        <v>42582</v>
      </c>
    </row>
    <row r="94" spans="2:21" x14ac:dyDescent="0.25">
      <c r="B94" s="4">
        <v>44</v>
      </c>
      <c r="C94" s="16">
        <v>3762</v>
      </c>
      <c r="D94" s="15"/>
      <c r="E94" s="10">
        <v>3884</v>
      </c>
      <c r="F94" s="44"/>
      <c r="G94" s="10">
        <v>160716077623.33334</v>
      </c>
      <c r="H94" s="10">
        <v>153684511766</v>
      </c>
      <c r="I94" s="10">
        <v>12525866000</v>
      </c>
      <c r="J94" s="10">
        <v>86908623925</v>
      </c>
      <c r="K94" s="10">
        <v>41722586912</v>
      </c>
      <c r="L94" s="44"/>
      <c r="M94" s="10">
        <v>126779165208</v>
      </c>
      <c r="N94" s="10">
        <v>30988874145</v>
      </c>
      <c r="O94" s="10">
        <v>7373724950</v>
      </c>
      <c r="P94" s="10">
        <v>5359524864</v>
      </c>
      <c r="Q94" s="10">
        <v>1820181031</v>
      </c>
      <c r="R94" s="10">
        <v>9128934560</v>
      </c>
      <c r="S94" s="10">
        <v>9899859565.666666</v>
      </c>
      <c r="T94" s="10">
        <f t="shared" si="2"/>
        <v>-770925005.66666603</v>
      </c>
      <c r="U94" s="105">
        <v>42582</v>
      </c>
    </row>
    <row r="95" spans="2:21" x14ac:dyDescent="0.25">
      <c r="B95" s="4">
        <v>45</v>
      </c>
      <c r="C95" s="10">
        <v>17904</v>
      </c>
      <c r="D95" s="15"/>
      <c r="E95" s="10">
        <v>21145</v>
      </c>
      <c r="F95" s="10">
        <v>0</v>
      </c>
      <c r="G95" s="42">
        <v>749098079908</v>
      </c>
      <c r="H95" s="42">
        <v>732178878247</v>
      </c>
      <c r="I95" s="10">
        <v>58839205375</v>
      </c>
      <c r="J95" s="10">
        <v>502242437825</v>
      </c>
      <c r="K95" s="10">
        <v>115174099196.30005</v>
      </c>
      <c r="L95" s="10">
        <v>0</v>
      </c>
      <c r="M95" s="42">
        <v>500975387319.70001</v>
      </c>
      <c r="N95" s="10">
        <v>57978739020</v>
      </c>
      <c r="O95" s="10">
        <v>9652278400</v>
      </c>
      <c r="P95" s="42">
        <v>23458912040</v>
      </c>
      <c r="Q95" s="42">
        <v>30430554894</v>
      </c>
      <c r="R95" s="42">
        <f>39851370283+6940125147</f>
        <v>46791495430</v>
      </c>
      <c r="S95" s="42">
        <v>45810284225</v>
      </c>
      <c r="T95" s="10">
        <f t="shared" si="2"/>
        <v>981211205</v>
      </c>
      <c r="U95" s="105">
        <v>42582</v>
      </c>
    </row>
    <row r="96" spans="2:21" x14ac:dyDescent="0.25">
      <c r="B96" s="2">
        <v>48</v>
      </c>
      <c r="C96" s="38">
        <v>7411</v>
      </c>
      <c r="D96" s="38">
        <v>610</v>
      </c>
      <c r="E96" s="38">
        <v>5521</v>
      </c>
      <c r="F96" s="38">
        <v>567</v>
      </c>
      <c r="G96" s="7">
        <v>258479025421.29999</v>
      </c>
      <c r="H96" s="7">
        <v>249271372426.29999</v>
      </c>
      <c r="I96" s="9">
        <v>19953949250.299999</v>
      </c>
      <c r="J96" s="7">
        <v>193718481416</v>
      </c>
      <c r="K96" s="7">
        <v>35291828210</v>
      </c>
      <c r="L96" s="7">
        <v>0</v>
      </c>
      <c r="M96" s="9">
        <v>155511084581</v>
      </c>
      <c r="N96" s="9">
        <v>23125816345</v>
      </c>
      <c r="O96" s="7">
        <v>13340377295</v>
      </c>
      <c r="P96" s="7">
        <v>8358220002</v>
      </c>
      <c r="Q96" s="7">
        <v>6782291724</v>
      </c>
      <c r="R96" s="7">
        <v>14045184631</v>
      </c>
      <c r="S96" s="7">
        <v>16809690656</v>
      </c>
      <c r="T96" s="7">
        <f t="shared" si="2"/>
        <v>-2764506025</v>
      </c>
      <c r="U96" s="103">
        <v>42582</v>
      </c>
    </row>
    <row r="97" spans="2:21" x14ac:dyDescent="0.25">
      <c r="B97" s="4">
        <v>49</v>
      </c>
      <c r="C97" s="39">
        <v>2746</v>
      </c>
      <c r="D97" s="39">
        <v>206</v>
      </c>
      <c r="E97" s="10">
        <v>3010</v>
      </c>
      <c r="F97" s="10">
        <v>200</v>
      </c>
      <c r="G97" s="42">
        <v>95607703970</v>
      </c>
      <c r="H97" s="42">
        <v>92765843096</v>
      </c>
      <c r="I97" s="42">
        <v>7861106200</v>
      </c>
      <c r="J97" s="42">
        <v>70454076873</v>
      </c>
      <c r="K97" s="42">
        <v>9128871850</v>
      </c>
      <c r="L97" s="44"/>
      <c r="M97" s="42">
        <v>84613844750</v>
      </c>
      <c r="N97" s="42">
        <v>21672945675</v>
      </c>
      <c r="O97" s="42">
        <v>17213382825</v>
      </c>
      <c r="P97" s="42">
        <v>2818951578</v>
      </c>
      <c r="Q97" s="42">
        <v>1222599404</v>
      </c>
      <c r="R97" s="42">
        <v>5494381777.6000004</v>
      </c>
      <c r="S97" s="42">
        <v>5484507531.6000004</v>
      </c>
      <c r="T97" s="16">
        <f t="shared" si="2"/>
        <v>9874246</v>
      </c>
      <c r="U97" s="105">
        <v>42582</v>
      </c>
    </row>
    <row r="98" spans="2:21" x14ac:dyDescent="0.25">
      <c r="B98" s="4">
        <v>55</v>
      </c>
      <c r="C98" s="42">
        <v>1799</v>
      </c>
      <c r="D98" s="42">
        <v>171</v>
      </c>
      <c r="E98" s="42">
        <v>1323</v>
      </c>
      <c r="F98" s="42">
        <v>151</v>
      </c>
      <c r="G98" s="42">
        <v>36952865222</v>
      </c>
      <c r="H98" s="42">
        <v>27324997376</v>
      </c>
      <c r="I98" s="42">
        <v>5111238300</v>
      </c>
      <c r="J98" s="42">
        <v>21082585816</v>
      </c>
      <c r="K98" s="10">
        <v>7554529650</v>
      </c>
      <c r="L98" s="44"/>
      <c r="M98" s="42">
        <v>20980898300</v>
      </c>
      <c r="N98" s="42">
        <v>1953704500</v>
      </c>
      <c r="O98" s="42">
        <v>10627078300</v>
      </c>
      <c r="P98" s="42">
        <v>2033702724</v>
      </c>
      <c r="Q98" s="42">
        <v>375773417</v>
      </c>
      <c r="R98" s="42">
        <f>688387550+81049707</f>
        <v>769437257</v>
      </c>
      <c r="S98" s="42">
        <v>1602820647</v>
      </c>
      <c r="T98" s="10">
        <f>R98-S98</f>
        <v>-833383390</v>
      </c>
      <c r="U98" s="105">
        <v>42582</v>
      </c>
    </row>
    <row r="99" spans="2:21" x14ac:dyDescent="0.25">
      <c r="B99" s="2">
        <v>60</v>
      </c>
      <c r="C99" s="7">
        <v>1511</v>
      </c>
      <c r="D99" s="7">
        <v>107</v>
      </c>
      <c r="E99" s="7">
        <v>2036</v>
      </c>
      <c r="F99" s="7">
        <v>93</v>
      </c>
      <c r="G99" s="7">
        <v>34331949262</v>
      </c>
      <c r="H99" s="9">
        <v>32082751681</v>
      </c>
      <c r="I99" s="9">
        <f>3747000000+1295790000</f>
        <v>5042790000</v>
      </c>
      <c r="J99" s="7">
        <v>17658974500</v>
      </c>
      <c r="K99" s="9">
        <f>24394721000-J99</f>
        <v>6735746500</v>
      </c>
      <c r="L99" s="27"/>
      <c r="M99" s="9">
        <v>23194053500</v>
      </c>
      <c r="N99" s="9">
        <v>4132405500</v>
      </c>
      <c r="O99" s="9">
        <v>7686425500</v>
      </c>
      <c r="P99" s="7">
        <v>2550495810</v>
      </c>
      <c r="Q99" s="7">
        <v>371070345</v>
      </c>
      <c r="R99" s="7">
        <f>1291145249+131244272</f>
        <v>1422389521</v>
      </c>
      <c r="S99" s="7">
        <f>1397022550</f>
        <v>1397022550</v>
      </c>
      <c r="T99" s="7">
        <f t="shared" ref="T99:T137" si="3">R99-S99</f>
        <v>25366971</v>
      </c>
      <c r="U99" s="103">
        <v>42582</v>
      </c>
    </row>
    <row r="100" spans="2:21" x14ac:dyDescent="0.25">
      <c r="B100" s="4">
        <v>61</v>
      </c>
      <c r="C100" s="16">
        <v>1389</v>
      </c>
      <c r="D100" s="16">
        <v>133</v>
      </c>
      <c r="E100" s="16">
        <v>1531</v>
      </c>
      <c r="F100" s="16">
        <v>124</v>
      </c>
      <c r="G100" s="18">
        <v>47433478486</v>
      </c>
      <c r="H100" s="18">
        <v>40459466997</v>
      </c>
      <c r="I100" s="18">
        <v>4811320000</v>
      </c>
      <c r="J100" s="18">
        <v>25512096050</v>
      </c>
      <c r="K100" s="18">
        <v>7984614550</v>
      </c>
      <c r="L100" s="18">
        <v>60000000</v>
      </c>
      <c r="M100" s="18">
        <v>31669196650</v>
      </c>
      <c r="N100" s="18">
        <v>2848830950</v>
      </c>
      <c r="O100" s="18">
        <v>3312697250</v>
      </c>
      <c r="P100" s="18">
        <v>1748662332</v>
      </c>
      <c r="Q100" s="18">
        <v>360195072</v>
      </c>
      <c r="R100" s="18">
        <f>2617501350+205333602</f>
        <v>2822834952</v>
      </c>
      <c r="S100" s="18">
        <v>2746387550</v>
      </c>
      <c r="T100" s="10">
        <f t="shared" si="3"/>
        <v>76447402</v>
      </c>
      <c r="U100" s="105">
        <v>42582</v>
      </c>
    </row>
    <row r="101" spans="2:21" x14ac:dyDescent="0.25">
      <c r="B101" s="2">
        <v>62</v>
      </c>
      <c r="C101" s="9">
        <v>10646</v>
      </c>
      <c r="D101" s="9">
        <v>1626</v>
      </c>
      <c r="E101" s="9">
        <v>17255</v>
      </c>
      <c r="F101" s="9">
        <v>1653</v>
      </c>
      <c r="G101" s="9">
        <v>376618424736</v>
      </c>
      <c r="H101" s="9">
        <v>346521725852</v>
      </c>
      <c r="I101" s="9">
        <v>50906368650</v>
      </c>
      <c r="J101" s="9">
        <v>207310027925</v>
      </c>
      <c r="K101" s="9">
        <v>71310396975</v>
      </c>
      <c r="L101" s="9">
        <f>150000000+75000000</f>
        <v>225000000</v>
      </c>
      <c r="M101" s="9">
        <v>226458082250</v>
      </c>
      <c r="N101" s="9">
        <v>13854271450</v>
      </c>
      <c r="O101" s="9">
        <v>816200700</v>
      </c>
      <c r="P101" s="9">
        <v>18928039815</v>
      </c>
      <c r="Q101" s="9">
        <v>3446568398</v>
      </c>
      <c r="R101" s="68">
        <f>23381957600+2841388382</f>
        <v>26223345982</v>
      </c>
      <c r="S101" s="9">
        <v>25958924358</v>
      </c>
      <c r="T101" s="7">
        <f t="shared" si="3"/>
        <v>264421624</v>
      </c>
      <c r="U101" s="103">
        <v>42582</v>
      </c>
    </row>
    <row r="102" spans="2:21" x14ac:dyDescent="0.25">
      <c r="B102" s="2">
        <v>64</v>
      </c>
      <c r="C102" s="9">
        <v>5247</v>
      </c>
      <c r="D102" s="9">
        <v>421</v>
      </c>
      <c r="E102" s="9">
        <v>5278</v>
      </c>
      <c r="F102" s="9">
        <v>385</v>
      </c>
      <c r="G102" s="9">
        <v>163890178986</v>
      </c>
      <c r="H102" s="9">
        <v>157828734338</v>
      </c>
      <c r="I102" s="9">
        <v>17147390000</v>
      </c>
      <c r="J102" s="9">
        <v>87231901550</v>
      </c>
      <c r="K102" s="9">
        <v>45786180075</v>
      </c>
      <c r="L102" s="7">
        <v>0</v>
      </c>
      <c r="M102" s="9">
        <v>102072821700</v>
      </c>
      <c r="N102" s="9">
        <v>3644322900</v>
      </c>
      <c r="O102" s="9">
        <v>101768700</v>
      </c>
      <c r="P102" s="9">
        <v>6308610850</v>
      </c>
      <c r="Q102" s="9">
        <v>1559009818</v>
      </c>
      <c r="R102" s="7">
        <v>13020273557</v>
      </c>
      <c r="S102" s="7">
        <v>13377037599</v>
      </c>
      <c r="T102" s="7">
        <f t="shared" si="3"/>
        <v>-356764042</v>
      </c>
      <c r="U102" s="103">
        <v>42582</v>
      </c>
    </row>
    <row r="103" spans="2:21" x14ac:dyDescent="0.25">
      <c r="B103" s="2">
        <v>65</v>
      </c>
      <c r="C103" s="38">
        <v>1667</v>
      </c>
      <c r="D103" s="38">
        <v>60</v>
      </c>
      <c r="E103" s="38">
        <v>1439</v>
      </c>
      <c r="F103" s="38">
        <v>51</v>
      </c>
      <c r="G103" s="61">
        <v>60244222845</v>
      </c>
      <c r="H103" s="61">
        <v>59139715535</v>
      </c>
      <c r="I103" s="7">
        <v>4495630000</v>
      </c>
      <c r="J103" s="61">
        <v>38091023900</v>
      </c>
      <c r="K103" s="61">
        <v>13190322400</v>
      </c>
      <c r="L103" s="7">
        <v>0</v>
      </c>
      <c r="M103" s="61">
        <v>41753392400</v>
      </c>
      <c r="N103" s="61">
        <v>3852303500</v>
      </c>
      <c r="O103" s="61">
        <v>2879862050</v>
      </c>
      <c r="P103" s="7">
        <v>1736540842</v>
      </c>
      <c r="Q103" s="7">
        <v>305985632</v>
      </c>
      <c r="R103" s="61">
        <f>2793854300+312425920</f>
        <v>3106280220</v>
      </c>
      <c r="S103" s="61">
        <f>2914323516+35480937</f>
        <v>2949804453</v>
      </c>
      <c r="T103" s="7">
        <f t="shared" si="3"/>
        <v>156475767</v>
      </c>
      <c r="U103" s="103">
        <v>42582</v>
      </c>
    </row>
    <row r="104" spans="2:21" x14ac:dyDescent="0.25">
      <c r="B104" s="2">
        <v>66</v>
      </c>
      <c r="C104" s="7">
        <v>4452</v>
      </c>
      <c r="D104" s="7">
        <v>285</v>
      </c>
      <c r="E104" s="7">
        <v>4802</v>
      </c>
      <c r="F104" s="7">
        <v>192</v>
      </c>
      <c r="G104" s="9">
        <v>124820431321</v>
      </c>
      <c r="H104" s="9">
        <v>117880140637</v>
      </c>
      <c r="I104" s="7">
        <v>13031545000</v>
      </c>
      <c r="J104" s="7">
        <v>77538853000</v>
      </c>
      <c r="K104" s="9">
        <v>24325813890</v>
      </c>
      <c r="L104" s="27"/>
      <c r="M104" s="7">
        <v>91577107200</v>
      </c>
      <c r="N104" s="50">
        <v>8883576850</v>
      </c>
      <c r="O104" s="11">
        <v>1399346350</v>
      </c>
      <c r="P104" s="9">
        <v>2006026185</v>
      </c>
      <c r="Q104" s="9">
        <v>300222001</v>
      </c>
      <c r="R104" s="9">
        <v>6531720395</v>
      </c>
      <c r="S104" s="9">
        <v>6687943857</v>
      </c>
      <c r="T104" s="7">
        <f t="shared" si="3"/>
        <v>-156223462</v>
      </c>
      <c r="U104" s="103">
        <v>42582</v>
      </c>
    </row>
    <row r="105" spans="2:21" x14ac:dyDescent="0.25">
      <c r="B105" s="2">
        <v>67</v>
      </c>
      <c r="C105" s="7">
        <v>9987</v>
      </c>
      <c r="D105" s="7">
        <v>914</v>
      </c>
      <c r="E105" s="7">
        <v>13076</v>
      </c>
      <c r="F105" s="7">
        <v>901</v>
      </c>
      <c r="G105" s="9">
        <v>323718434887</v>
      </c>
      <c r="H105" s="9">
        <v>314749281009</v>
      </c>
      <c r="I105" s="9">
        <v>43716641150</v>
      </c>
      <c r="J105" s="9">
        <v>168873494650</v>
      </c>
      <c r="K105" s="9">
        <v>76306491850</v>
      </c>
      <c r="L105" s="27"/>
      <c r="M105" s="9">
        <v>223496760100</v>
      </c>
      <c r="N105" s="9">
        <v>22789911050</v>
      </c>
      <c r="O105" s="9">
        <v>5491524050</v>
      </c>
      <c r="P105" s="9">
        <v>10889148707</v>
      </c>
      <c r="Q105" s="9">
        <v>3594155129</v>
      </c>
      <c r="R105" s="9">
        <v>18286900809</v>
      </c>
      <c r="S105" s="9">
        <v>17734665905</v>
      </c>
      <c r="T105" s="7">
        <f t="shared" si="3"/>
        <v>552234904</v>
      </c>
      <c r="U105" s="103">
        <v>42582</v>
      </c>
    </row>
    <row r="106" spans="2:21" x14ac:dyDescent="0.25">
      <c r="B106" s="2">
        <v>68</v>
      </c>
      <c r="C106" s="7">
        <v>992</v>
      </c>
      <c r="D106" s="37"/>
      <c r="E106" s="51">
        <v>1521</v>
      </c>
      <c r="F106" s="27">
        <v>0</v>
      </c>
      <c r="G106" s="7">
        <v>24418614772</v>
      </c>
      <c r="H106" s="7">
        <v>20898309302</v>
      </c>
      <c r="I106" s="7">
        <v>2511099900</v>
      </c>
      <c r="J106" s="52">
        <v>11176057117</v>
      </c>
      <c r="K106" s="7">
        <v>5928495766</v>
      </c>
      <c r="L106" s="7">
        <v>1683332700</v>
      </c>
      <c r="M106" s="82">
        <v>15443715780</v>
      </c>
      <c r="N106" s="51">
        <v>1237918280</v>
      </c>
      <c r="O106" s="51">
        <v>399635700</v>
      </c>
      <c r="P106" s="7">
        <v>908199397</v>
      </c>
      <c r="Q106" s="7">
        <v>357341257</v>
      </c>
      <c r="R106" s="7">
        <v>2189468724</v>
      </c>
      <c r="S106" s="9">
        <v>2095428535</v>
      </c>
      <c r="T106" s="7">
        <f t="shared" si="3"/>
        <v>94040189</v>
      </c>
      <c r="U106" s="103">
        <v>42582</v>
      </c>
    </row>
    <row r="107" spans="2:21" x14ac:dyDescent="0.25">
      <c r="B107" s="2">
        <v>71</v>
      </c>
      <c r="C107" s="37">
        <v>1842</v>
      </c>
      <c r="D107" s="37">
        <v>84</v>
      </c>
      <c r="E107" s="37">
        <v>2803</v>
      </c>
      <c r="F107" s="37">
        <v>89</v>
      </c>
      <c r="G107" s="9">
        <v>71338521006</v>
      </c>
      <c r="H107" s="9">
        <v>63838041145</v>
      </c>
      <c r="I107" s="9">
        <v>8494399000</v>
      </c>
      <c r="J107" s="7">
        <v>38638351750</v>
      </c>
      <c r="K107" s="7">
        <v>11641670551</v>
      </c>
      <c r="L107" s="27"/>
      <c r="M107" s="9">
        <v>50674718200</v>
      </c>
      <c r="N107" s="7">
        <v>7713486500</v>
      </c>
      <c r="O107" s="7">
        <v>6288387700</v>
      </c>
      <c r="P107" s="9">
        <v>6296467557</v>
      </c>
      <c r="Q107" s="9">
        <v>1093177541</v>
      </c>
      <c r="R107" s="9">
        <f>3421633850+171185133</f>
        <v>3592818983</v>
      </c>
      <c r="S107" s="9">
        <v>3541703550</v>
      </c>
      <c r="T107" s="7">
        <f t="shared" si="3"/>
        <v>51115433</v>
      </c>
      <c r="U107" s="103">
        <v>42582</v>
      </c>
    </row>
    <row r="108" spans="2:21" x14ac:dyDescent="0.25">
      <c r="B108" s="2">
        <v>72</v>
      </c>
      <c r="C108" s="9">
        <v>604</v>
      </c>
      <c r="D108" s="9">
        <v>125</v>
      </c>
      <c r="E108" s="9">
        <v>804</v>
      </c>
      <c r="F108" s="9">
        <v>95</v>
      </c>
      <c r="G108" s="7">
        <v>14463549799</v>
      </c>
      <c r="H108" s="7">
        <v>13759237293</v>
      </c>
      <c r="I108" s="7">
        <v>2313335000</v>
      </c>
      <c r="J108" s="7">
        <v>8656588150</v>
      </c>
      <c r="K108" s="61">
        <v>1658988600</v>
      </c>
      <c r="L108" s="7">
        <v>0</v>
      </c>
      <c r="M108" s="7">
        <v>9334576900</v>
      </c>
      <c r="N108" s="7">
        <v>1695559300</v>
      </c>
      <c r="O108" s="7">
        <v>189040600</v>
      </c>
      <c r="P108" s="7">
        <v>549891400</v>
      </c>
      <c r="Q108" s="7">
        <v>165421115</v>
      </c>
      <c r="R108" s="7">
        <v>1156880286</v>
      </c>
      <c r="S108" s="7">
        <v>1164378129</v>
      </c>
      <c r="T108" s="7">
        <f t="shared" si="3"/>
        <v>-7497843</v>
      </c>
      <c r="U108" s="103">
        <v>42582</v>
      </c>
    </row>
    <row r="109" spans="2:21" x14ac:dyDescent="0.25">
      <c r="B109" s="4">
        <v>74</v>
      </c>
      <c r="C109" s="42">
        <v>511</v>
      </c>
      <c r="D109" s="15">
        <v>112</v>
      </c>
      <c r="E109" s="42">
        <v>582</v>
      </c>
      <c r="F109" s="15">
        <v>92</v>
      </c>
      <c r="G109" s="10">
        <v>40680848059</v>
      </c>
      <c r="H109" s="10">
        <v>39068018507</v>
      </c>
      <c r="I109" s="10">
        <v>4155041000</v>
      </c>
      <c r="J109" s="10">
        <v>21235506787</v>
      </c>
      <c r="K109" s="10">
        <f>32026338356-J109</f>
        <v>10790831569</v>
      </c>
      <c r="L109" s="10">
        <v>766665600</v>
      </c>
      <c r="M109" s="10">
        <v>34785901000</v>
      </c>
      <c r="N109" s="18">
        <v>3873993000</v>
      </c>
      <c r="O109" s="18">
        <v>113802000</v>
      </c>
      <c r="P109" s="10">
        <v>1617811143</v>
      </c>
      <c r="Q109" s="10">
        <v>827507391</v>
      </c>
      <c r="R109" s="10">
        <f>2206814903+163210652</f>
        <v>2370025555</v>
      </c>
      <c r="S109" s="10">
        <f>2332065423+22090582</f>
        <v>2354156005</v>
      </c>
      <c r="T109" s="10">
        <f t="shared" si="3"/>
        <v>15869550</v>
      </c>
      <c r="U109" s="105">
        <v>42582</v>
      </c>
    </row>
    <row r="110" spans="2:21" x14ac:dyDescent="0.25">
      <c r="B110" s="2">
        <v>75</v>
      </c>
      <c r="C110" s="7">
        <v>1027</v>
      </c>
      <c r="D110" s="7">
        <v>11</v>
      </c>
      <c r="E110" s="7">
        <v>1065</v>
      </c>
      <c r="F110" s="7">
        <v>8</v>
      </c>
      <c r="G110" s="7">
        <v>35464786574</v>
      </c>
      <c r="H110" s="7">
        <v>33303359374</v>
      </c>
      <c r="I110" s="7">
        <v>2996335000</v>
      </c>
      <c r="J110" s="7">
        <v>22592500100</v>
      </c>
      <c r="K110" s="38">
        <v>4462507150</v>
      </c>
      <c r="L110" s="7">
        <v>0</v>
      </c>
      <c r="M110" s="7">
        <v>20891501500</v>
      </c>
      <c r="N110" s="7">
        <v>3087763350</v>
      </c>
      <c r="O110" s="7">
        <v>1222323000</v>
      </c>
      <c r="P110" s="9">
        <v>3120290809</v>
      </c>
      <c r="Q110" s="9">
        <v>44104150</v>
      </c>
      <c r="R110" s="7">
        <v>3190897395</v>
      </c>
      <c r="S110" s="9">
        <v>3078804630</v>
      </c>
      <c r="T110" s="7">
        <f t="shared" si="3"/>
        <v>112092765</v>
      </c>
      <c r="U110" s="103">
        <v>42582</v>
      </c>
    </row>
    <row r="111" spans="2:21" x14ac:dyDescent="0.25">
      <c r="B111" s="2">
        <v>81</v>
      </c>
      <c r="C111" s="9">
        <v>362</v>
      </c>
      <c r="D111" s="9">
        <v>5</v>
      </c>
      <c r="E111" s="9">
        <v>331</v>
      </c>
      <c r="F111" s="9">
        <v>6</v>
      </c>
      <c r="G111" s="9">
        <v>8334864586</v>
      </c>
      <c r="H111" s="9">
        <v>7980120836</v>
      </c>
      <c r="I111" s="9">
        <v>948170000</v>
      </c>
      <c r="J111" s="9">
        <v>5601126450</v>
      </c>
      <c r="K111" s="9">
        <v>1006171800</v>
      </c>
      <c r="L111" s="27"/>
      <c r="M111" s="9">
        <v>4619902800</v>
      </c>
      <c r="N111" s="42">
        <v>983212700</v>
      </c>
      <c r="O111" s="42">
        <v>23777200</v>
      </c>
      <c r="P111" s="9">
        <v>311032058</v>
      </c>
      <c r="Q111" s="9">
        <v>59089837</v>
      </c>
      <c r="R111" s="7">
        <v>668926621</v>
      </c>
      <c r="S111" s="7">
        <v>661672530</v>
      </c>
      <c r="T111" s="7">
        <f t="shared" si="3"/>
        <v>7254091</v>
      </c>
      <c r="U111" s="103">
        <v>42582</v>
      </c>
    </row>
    <row r="112" spans="2:21" x14ac:dyDescent="0.25">
      <c r="B112" s="2">
        <v>82</v>
      </c>
      <c r="C112" s="7">
        <v>484</v>
      </c>
      <c r="D112" s="7"/>
      <c r="E112" s="7">
        <v>583</v>
      </c>
      <c r="F112" s="27">
        <v>0</v>
      </c>
      <c r="G112" s="9">
        <v>3364027526</v>
      </c>
      <c r="H112" s="9">
        <v>2754327942</v>
      </c>
      <c r="I112" s="7">
        <v>314181900</v>
      </c>
      <c r="J112" s="7">
        <v>1340841100</v>
      </c>
      <c r="K112" s="7">
        <v>1063378435</v>
      </c>
      <c r="L112" s="72">
        <v>174998900</v>
      </c>
      <c r="M112" s="7">
        <v>2451083750</v>
      </c>
      <c r="N112" s="11">
        <v>122852850</v>
      </c>
      <c r="O112" s="11">
        <v>0</v>
      </c>
      <c r="P112" s="9">
        <v>103785570</v>
      </c>
      <c r="Q112" s="9">
        <v>118364431</v>
      </c>
      <c r="R112" s="9">
        <f>166914579+22185869</f>
        <v>189100448</v>
      </c>
      <c r="S112" s="9">
        <v>174136763</v>
      </c>
      <c r="T112" s="7">
        <f t="shared" si="3"/>
        <v>14963685</v>
      </c>
      <c r="U112" s="103">
        <v>42582</v>
      </c>
    </row>
    <row r="113" spans="2:21" x14ac:dyDescent="0.25">
      <c r="B113" s="2">
        <v>1</v>
      </c>
      <c r="C113" s="7">
        <v>27535</v>
      </c>
      <c r="D113" s="7">
        <v>0</v>
      </c>
      <c r="E113" s="7">
        <v>24234</v>
      </c>
      <c r="F113" s="7">
        <v>0</v>
      </c>
      <c r="G113" s="7">
        <v>540037665956</v>
      </c>
      <c r="H113" s="7">
        <v>489865113541</v>
      </c>
      <c r="I113" s="7">
        <v>90364088475</v>
      </c>
      <c r="J113" s="7">
        <v>330562797325</v>
      </c>
      <c r="K113" s="7">
        <f>414750867563-J113</f>
        <v>84188070238</v>
      </c>
      <c r="L113" s="27">
        <v>0</v>
      </c>
      <c r="M113" s="7">
        <v>423821145307</v>
      </c>
      <c r="N113" s="11">
        <v>26889741750</v>
      </c>
      <c r="O113" s="11">
        <v>9248337800</v>
      </c>
      <c r="P113" s="7">
        <v>7854223000</v>
      </c>
      <c r="Q113" s="7">
        <v>510687218</v>
      </c>
      <c r="R113" s="7">
        <v>30936162329</v>
      </c>
      <c r="S113" s="7">
        <f>30219177628+23040566</f>
        <v>30242218194</v>
      </c>
      <c r="T113" s="7">
        <f t="shared" si="3"/>
        <v>693944135</v>
      </c>
      <c r="U113" s="103">
        <v>42551</v>
      </c>
    </row>
    <row r="114" spans="2:21" x14ac:dyDescent="0.25">
      <c r="B114" s="2">
        <v>7</v>
      </c>
      <c r="C114" s="7">
        <v>3384</v>
      </c>
      <c r="D114" s="7">
        <v>623</v>
      </c>
      <c r="E114" s="7">
        <v>3664</v>
      </c>
      <c r="F114" s="7">
        <v>602</v>
      </c>
      <c r="G114" s="9">
        <v>90838088500</v>
      </c>
      <c r="H114" s="9">
        <v>84470409350</v>
      </c>
      <c r="I114" s="7">
        <v>8666794600</v>
      </c>
      <c r="J114" s="9">
        <v>65018133600</v>
      </c>
      <c r="K114" s="9">
        <f>76917502200-J114</f>
        <v>11899368600</v>
      </c>
      <c r="L114" s="7">
        <v>0</v>
      </c>
      <c r="M114" s="9">
        <v>76321578000</v>
      </c>
      <c r="N114" s="11">
        <f>6353164125-O114</f>
        <v>3068880200</v>
      </c>
      <c r="O114" s="11">
        <v>3284283925</v>
      </c>
      <c r="P114" s="9">
        <v>1131332150</v>
      </c>
      <c r="Q114" s="9">
        <v>101077100</v>
      </c>
      <c r="R114" s="9">
        <f>4726309800+194223300</f>
        <v>4920533100</v>
      </c>
      <c r="S114" s="9">
        <v>4848852500</v>
      </c>
      <c r="T114" s="7">
        <f t="shared" si="3"/>
        <v>71680600</v>
      </c>
      <c r="U114" s="103">
        <v>42551</v>
      </c>
    </row>
    <row r="115" spans="2:21" x14ac:dyDescent="0.25">
      <c r="B115" s="2">
        <v>12</v>
      </c>
      <c r="C115" s="9">
        <v>7153</v>
      </c>
      <c r="D115" s="7">
        <v>0</v>
      </c>
      <c r="E115" s="9">
        <v>5199</v>
      </c>
      <c r="F115" s="7">
        <v>0</v>
      </c>
      <c r="G115" s="9">
        <v>80640995408</v>
      </c>
      <c r="H115" s="7">
        <v>73142415566</v>
      </c>
      <c r="I115" s="7">
        <v>13184648400</v>
      </c>
      <c r="J115" s="7">
        <v>48524135928</v>
      </c>
      <c r="K115" s="7">
        <v>7639780829</v>
      </c>
      <c r="L115" s="7">
        <v>354750000</v>
      </c>
      <c r="M115" s="9">
        <v>63563838500</v>
      </c>
      <c r="N115" s="11">
        <v>10770534650</v>
      </c>
      <c r="O115" s="11">
        <v>2675139550</v>
      </c>
      <c r="P115" s="7">
        <v>3126390391</v>
      </c>
      <c r="Q115" s="7">
        <v>3040740602</v>
      </c>
      <c r="R115" s="7">
        <v>5435893651</v>
      </c>
      <c r="S115" s="7">
        <v>5459342314</v>
      </c>
      <c r="T115" s="7">
        <f t="shared" si="3"/>
        <v>-23448663</v>
      </c>
      <c r="U115" s="103">
        <v>42551</v>
      </c>
    </row>
    <row r="116" spans="2:21" x14ac:dyDescent="0.25">
      <c r="B116" s="5">
        <v>14</v>
      </c>
      <c r="C116" s="7">
        <v>10433</v>
      </c>
      <c r="D116" s="7">
        <v>471</v>
      </c>
      <c r="E116" s="7">
        <v>6549</v>
      </c>
      <c r="F116" s="7">
        <v>447</v>
      </c>
      <c r="G116" s="7">
        <v>183224759105</v>
      </c>
      <c r="H116" s="7">
        <v>156832905287</v>
      </c>
      <c r="I116" s="7">
        <f>7535727600+15797371550</f>
        <v>23333099150</v>
      </c>
      <c r="J116" s="7">
        <v>98448526904</v>
      </c>
      <c r="K116" s="7">
        <f>140568394576-J116</f>
        <v>42119867672</v>
      </c>
      <c r="L116" s="7">
        <v>0</v>
      </c>
      <c r="M116" s="29">
        <v>136866765400</v>
      </c>
      <c r="N116" s="84">
        <v>29787309500</v>
      </c>
      <c r="O116" s="84">
        <v>3508666800</v>
      </c>
      <c r="P116" s="29">
        <v>3268987340</v>
      </c>
      <c r="Q116" s="29">
        <v>7604742973</v>
      </c>
      <c r="R116" s="29">
        <f>10529431700+461142869</f>
        <v>10990574569</v>
      </c>
      <c r="S116" s="29">
        <v>11414327105</v>
      </c>
      <c r="T116" s="29">
        <f t="shared" si="3"/>
        <v>-423752536</v>
      </c>
      <c r="U116" s="106">
        <v>42551</v>
      </c>
    </row>
    <row r="117" spans="2:21" x14ac:dyDescent="0.25">
      <c r="B117" s="5">
        <v>35</v>
      </c>
      <c r="C117" s="29">
        <v>222</v>
      </c>
      <c r="D117" s="29"/>
      <c r="E117" s="29">
        <v>260</v>
      </c>
      <c r="F117" s="29"/>
      <c r="G117" s="56">
        <v>10569101075</v>
      </c>
      <c r="H117" s="56">
        <v>9581896565</v>
      </c>
      <c r="I117" s="56">
        <v>888948750</v>
      </c>
      <c r="J117" s="85">
        <v>5206528725</v>
      </c>
      <c r="K117" s="56">
        <v>1482813622</v>
      </c>
      <c r="L117" s="56">
        <v>750000000</v>
      </c>
      <c r="M117" s="56">
        <v>9411414475</v>
      </c>
      <c r="N117" s="7">
        <v>0</v>
      </c>
      <c r="O117" s="7">
        <v>0</v>
      </c>
      <c r="P117" s="56">
        <v>52539607</v>
      </c>
      <c r="Q117" s="56">
        <v>158258722</v>
      </c>
      <c r="R117" s="56">
        <v>524962965</v>
      </c>
      <c r="S117" s="56">
        <v>285228203</v>
      </c>
      <c r="T117" s="29">
        <f t="shared" si="3"/>
        <v>239734762</v>
      </c>
      <c r="U117" s="106">
        <v>42551</v>
      </c>
    </row>
    <row r="118" spans="2:21" x14ac:dyDescent="0.25">
      <c r="B118" s="2">
        <v>40</v>
      </c>
      <c r="C118" s="7">
        <v>10930</v>
      </c>
      <c r="D118" s="7">
        <v>0</v>
      </c>
      <c r="E118" s="7">
        <v>11084</v>
      </c>
      <c r="F118" s="7">
        <v>0</v>
      </c>
      <c r="G118" s="7">
        <v>244533287912</v>
      </c>
      <c r="H118" s="9">
        <v>207550676283.97998</v>
      </c>
      <c r="I118" s="9">
        <v>38620219000</v>
      </c>
      <c r="J118" s="7">
        <v>134034042010</v>
      </c>
      <c r="K118" s="7">
        <v>51591193177</v>
      </c>
      <c r="L118" s="74">
        <v>-5000</v>
      </c>
      <c r="M118" s="7">
        <v>175530461750</v>
      </c>
      <c r="N118" s="7">
        <v>32013045525</v>
      </c>
      <c r="O118" s="7">
        <v>37552415975</v>
      </c>
      <c r="P118" s="86">
        <v>8453214864.1260004</v>
      </c>
      <c r="Q118" s="61">
        <v>4552634518.4460001</v>
      </c>
      <c r="R118" s="61">
        <v>13339361370.130001</v>
      </c>
      <c r="S118" s="61">
        <v>13060987463.250999</v>
      </c>
      <c r="T118" s="7">
        <f t="shared" si="3"/>
        <v>278373906.87900162</v>
      </c>
      <c r="U118" s="103">
        <v>42551</v>
      </c>
    </row>
    <row r="119" spans="2:21" x14ac:dyDescent="0.25">
      <c r="B119" s="2">
        <v>46</v>
      </c>
      <c r="C119" s="7">
        <v>1952</v>
      </c>
      <c r="D119" s="7">
        <v>63</v>
      </c>
      <c r="E119" s="7">
        <v>1368</v>
      </c>
      <c r="F119" s="7">
        <v>33</v>
      </c>
      <c r="G119" s="7">
        <v>34851305068.079994</v>
      </c>
      <c r="H119" s="7">
        <v>28776963826.869999</v>
      </c>
      <c r="I119" s="7">
        <v>4232205323</v>
      </c>
      <c r="J119" s="7">
        <v>23998900174</v>
      </c>
      <c r="K119" s="7">
        <v>2242991329</v>
      </c>
      <c r="L119" s="7">
        <v>3210892500</v>
      </c>
      <c r="M119" s="7">
        <v>26438631231</v>
      </c>
      <c r="N119" s="7">
        <v>4583011200</v>
      </c>
      <c r="O119" s="7">
        <v>938808050</v>
      </c>
      <c r="P119" s="7">
        <v>832966898</v>
      </c>
      <c r="Q119" s="7">
        <v>278998699</v>
      </c>
      <c r="R119" s="7">
        <v>2242844676.8200002</v>
      </c>
      <c r="S119" s="7">
        <v>2400598036.5300002</v>
      </c>
      <c r="T119" s="7">
        <f t="shared" si="3"/>
        <v>-157753359.71000004</v>
      </c>
      <c r="U119" s="103">
        <v>42551</v>
      </c>
    </row>
    <row r="120" spans="2:21" x14ac:dyDescent="0.25">
      <c r="B120" s="4">
        <v>52</v>
      </c>
      <c r="C120" s="10">
        <v>2647</v>
      </c>
      <c r="D120" s="10">
        <v>129</v>
      </c>
      <c r="E120" s="10">
        <v>2584</v>
      </c>
      <c r="F120" s="10">
        <v>109</v>
      </c>
      <c r="G120" s="10">
        <v>31159023762</v>
      </c>
      <c r="H120" s="10">
        <v>27408576015</v>
      </c>
      <c r="I120" s="10">
        <v>6074264000</v>
      </c>
      <c r="J120" s="10">
        <v>14475882902</v>
      </c>
      <c r="K120" s="10">
        <v>2276607115</v>
      </c>
      <c r="L120" s="10">
        <v>4114997600</v>
      </c>
      <c r="M120" s="10">
        <v>27220828620</v>
      </c>
      <c r="N120" s="10">
        <v>11732120994</v>
      </c>
      <c r="O120" s="10">
        <v>8759898650</v>
      </c>
      <c r="P120" s="10">
        <v>865070625</v>
      </c>
      <c r="Q120" s="10">
        <v>1343097148</v>
      </c>
      <c r="R120" s="10">
        <v>547992853</v>
      </c>
      <c r="S120" s="10">
        <v>1100681200</v>
      </c>
      <c r="T120" s="10">
        <f t="shared" si="3"/>
        <v>-552688347</v>
      </c>
      <c r="U120" s="105">
        <v>42551</v>
      </c>
    </row>
    <row r="121" spans="2:21" x14ac:dyDescent="0.25">
      <c r="B121" s="5">
        <v>53</v>
      </c>
      <c r="C121" s="29">
        <v>11251</v>
      </c>
      <c r="D121" s="29">
        <v>0</v>
      </c>
      <c r="E121" s="29">
        <v>10051</v>
      </c>
      <c r="F121" s="29">
        <v>0</v>
      </c>
      <c r="G121" s="28">
        <v>260175642863</v>
      </c>
      <c r="H121" s="28">
        <v>247069375126</v>
      </c>
      <c r="I121" s="28">
        <v>34916694970</v>
      </c>
      <c r="J121" s="28">
        <v>153136226625</v>
      </c>
      <c r="K121" s="28">
        <f>190142780215-J121</f>
        <v>37006553590</v>
      </c>
      <c r="L121" s="27">
        <v>0</v>
      </c>
      <c r="M121" s="28">
        <v>175909002300</v>
      </c>
      <c r="N121" s="7">
        <v>22675153200</v>
      </c>
      <c r="O121" s="61">
        <v>11373409300</v>
      </c>
      <c r="P121" s="28">
        <v>11625160313</v>
      </c>
      <c r="Q121" s="28">
        <v>4091396476</v>
      </c>
      <c r="R121" s="28">
        <f>10098054665+1714596839</f>
        <v>11812651504</v>
      </c>
      <c r="S121" s="28">
        <f>7410976600+3993664883</f>
        <v>11404641483</v>
      </c>
      <c r="T121" s="7">
        <f t="shared" si="3"/>
        <v>408010021</v>
      </c>
      <c r="U121" s="106">
        <v>42551</v>
      </c>
    </row>
    <row r="122" spans="2:21" x14ac:dyDescent="0.25">
      <c r="B122" s="4">
        <v>54</v>
      </c>
      <c r="C122" s="10">
        <v>4676</v>
      </c>
      <c r="D122" s="10">
        <v>686</v>
      </c>
      <c r="E122" s="10">
        <v>3477</v>
      </c>
      <c r="F122" s="10">
        <v>491</v>
      </c>
      <c r="G122" s="42">
        <v>104976560388.33047</v>
      </c>
      <c r="H122" s="42">
        <v>99737274711.997147</v>
      </c>
      <c r="I122" s="42">
        <v>12981282500</v>
      </c>
      <c r="J122" s="42">
        <v>65996509162</v>
      </c>
      <c r="K122" s="42">
        <v>17909338972</v>
      </c>
      <c r="L122" s="77">
        <v>66664800</v>
      </c>
      <c r="M122" s="18">
        <v>87292489036</v>
      </c>
      <c r="N122" s="18">
        <v>19310637000</v>
      </c>
      <c r="O122" s="18">
        <v>8366023700</v>
      </c>
      <c r="P122" s="42">
        <v>2733685156.5299997</v>
      </c>
      <c r="Q122" s="42">
        <v>1333817533.0133328</v>
      </c>
      <c r="R122" s="42">
        <v>5450249451.9800005</v>
      </c>
      <c r="S122" s="42">
        <v>5549795576.1428566</v>
      </c>
      <c r="T122" s="10">
        <f t="shared" si="3"/>
        <v>-99546124.162856102</v>
      </c>
      <c r="U122" s="105">
        <v>42551</v>
      </c>
    </row>
    <row r="123" spans="2:21" x14ac:dyDescent="0.25">
      <c r="B123" s="4">
        <v>59</v>
      </c>
      <c r="C123" s="10">
        <v>5242</v>
      </c>
      <c r="D123" s="10">
        <v>237</v>
      </c>
      <c r="E123" s="10">
        <v>5453</v>
      </c>
      <c r="F123" s="10">
        <v>221</v>
      </c>
      <c r="G123" s="10">
        <v>156925891960</v>
      </c>
      <c r="H123" s="10">
        <v>148277302959</v>
      </c>
      <c r="I123" s="10">
        <v>18730774400</v>
      </c>
      <c r="J123" s="10">
        <v>68006644350</v>
      </c>
      <c r="K123" s="10">
        <v>57105445647</v>
      </c>
      <c r="L123" s="44">
        <v>0</v>
      </c>
      <c r="M123" s="42">
        <v>110854708660</v>
      </c>
      <c r="N123" s="10">
        <v>13158637300</v>
      </c>
      <c r="O123" s="10">
        <v>13450580750</v>
      </c>
      <c r="P123" s="10">
        <v>5320334148</v>
      </c>
      <c r="Q123" s="10">
        <v>395893834</v>
      </c>
      <c r="R123" s="10">
        <v>9510278673</v>
      </c>
      <c r="S123" s="10">
        <v>9147654441</v>
      </c>
      <c r="T123" s="10">
        <f t="shared" si="3"/>
        <v>362624232</v>
      </c>
      <c r="U123" s="105">
        <v>42551</v>
      </c>
    </row>
    <row r="124" spans="2:21" x14ac:dyDescent="0.25">
      <c r="B124" s="83">
        <v>69</v>
      </c>
      <c r="C124" s="10">
        <v>2854</v>
      </c>
      <c r="D124" s="10">
        <v>0</v>
      </c>
      <c r="E124" s="10">
        <v>2619</v>
      </c>
      <c r="F124" s="10">
        <v>0</v>
      </c>
      <c r="G124" s="42">
        <v>47076414018</v>
      </c>
      <c r="H124" s="10">
        <v>43983803618</v>
      </c>
      <c r="I124" s="10">
        <v>4057710050</v>
      </c>
      <c r="J124" s="42">
        <v>25837340408</v>
      </c>
      <c r="K124" s="10">
        <v>12240262908</v>
      </c>
      <c r="L124" s="42">
        <v>1150000000</v>
      </c>
      <c r="M124" s="10">
        <v>34285401500</v>
      </c>
      <c r="N124" s="10">
        <v>4897834850</v>
      </c>
      <c r="O124" s="10">
        <v>1195750900</v>
      </c>
      <c r="P124" s="87">
        <v>1622083653</v>
      </c>
      <c r="Q124" s="42">
        <v>108567784</v>
      </c>
      <c r="R124" s="42">
        <v>2760795675</v>
      </c>
      <c r="S124" s="42">
        <v>2756490573</v>
      </c>
      <c r="T124" s="10">
        <f t="shared" si="3"/>
        <v>4305102</v>
      </c>
      <c r="U124" s="109">
        <v>42551</v>
      </c>
    </row>
    <row r="125" spans="2:21" x14ac:dyDescent="0.25">
      <c r="B125" s="4">
        <v>70</v>
      </c>
      <c r="C125" s="10">
        <v>729</v>
      </c>
      <c r="D125" s="10">
        <v>2</v>
      </c>
      <c r="E125" s="10">
        <v>581</v>
      </c>
      <c r="F125" s="10">
        <v>0</v>
      </c>
      <c r="G125" s="42">
        <v>9765658726</v>
      </c>
      <c r="H125" s="42">
        <v>6811514876</v>
      </c>
      <c r="I125" s="10">
        <v>1283942600</v>
      </c>
      <c r="J125" s="10">
        <v>6479079350</v>
      </c>
      <c r="K125" s="10">
        <v>1320045944</v>
      </c>
      <c r="L125" s="45"/>
      <c r="M125" s="42">
        <v>6692520200</v>
      </c>
      <c r="N125" s="14">
        <v>511804400</v>
      </c>
      <c r="O125" s="10">
        <v>2207357900</v>
      </c>
      <c r="P125" s="42">
        <v>146513423</v>
      </c>
      <c r="Q125" s="42">
        <v>3098999</v>
      </c>
      <c r="R125" s="42">
        <v>434197600</v>
      </c>
      <c r="S125" s="42">
        <v>438262450</v>
      </c>
      <c r="T125" s="10">
        <f t="shared" si="3"/>
        <v>-4064850</v>
      </c>
      <c r="U125" s="105">
        <v>42551</v>
      </c>
    </row>
    <row r="126" spans="2:21" x14ac:dyDescent="0.25">
      <c r="B126" s="4">
        <v>73</v>
      </c>
      <c r="C126" s="10">
        <v>4118</v>
      </c>
      <c r="D126" s="10">
        <v>0</v>
      </c>
      <c r="E126" s="10">
        <v>4801</v>
      </c>
      <c r="F126" s="10">
        <v>0</v>
      </c>
      <c r="G126" s="42">
        <v>146789230584</v>
      </c>
      <c r="H126" s="42">
        <v>143609026747</v>
      </c>
      <c r="I126" s="42">
        <v>18875550000</v>
      </c>
      <c r="J126" s="42">
        <v>70235383656</v>
      </c>
      <c r="K126" s="42">
        <v>37621853909</v>
      </c>
      <c r="L126" s="10">
        <v>0</v>
      </c>
      <c r="M126" s="42">
        <v>109530712284</v>
      </c>
      <c r="N126" s="88">
        <v>17317393843</v>
      </c>
      <c r="O126" s="88">
        <v>3089770308</v>
      </c>
      <c r="P126" s="42">
        <v>3344425782</v>
      </c>
      <c r="Q126" s="42">
        <v>2965307061</v>
      </c>
      <c r="R126" s="42">
        <v>6907894618</v>
      </c>
      <c r="S126" s="42">
        <v>7199585542</v>
      </c>
      <c r="T126" s="10">
        <f t="shared" si="3"/>
        <v>-291690924</v>
      </c>
      <c r="U126" s="105">
        <v>42551</v>
      </c>
    </row>
    <row r="127" spans="2:21" x14ac:dyDescent="0.25">
      <c r="B127" s="4">
        <v>76</v>
      </c>
      <c r="C127" s="10">
        <v>1201</v>
      </c>
      <c r="D127" s="10"/>
      <c r="E127" s="10">
        <v>990</v>
      </c>
      <c r="F127" s="10"/>
      <c r="G127" s="10">
        <v>39631324505</v>
      </c>
      <c r="H127" s="10">
        <v>39126260955</v>
      </c>
      <c r="I127" s="10">
        <v>2944360000</v>
      </c>
      <c r="J127" s="10">
        <v>20939944100</v>
      </c>
      <c r="K127" s="10">
        <v>13314848006</v>
      </c>
      <c r="L127" s="10">
        <v>0</v>
      </c>
      <c r="M127" s="10">
        <v>28472324300</v>
      </c>
      <c r="N127" s="14">
        <v>59238091</v>
      </c>
      <c r="O127" s="14">
        <v>28877078</v>
      </c>
      <c r="P127" s="78">
        <v>0</v>
      </c>
      <c r="Q127" s="10">
        <v>705484628</v>
      </c>
      <c r="R127" s="10">
        <v>2260662019</v>
      </c>
      <c r="S127" s="10">
        <v>2030788583</v>
      </c>
      <c r="T127" s="10">
        <f t="shared" si="3"/>
        <v>229873436</v>
      </c>
      <c r="U127" s="105">
        <v>42551</v>
      </c>
    </row>
    <row r="128" spans="2:21" x14ac:dyDescent="0.25">
      <c r="B128" s="83">
        <v>78</v>
      </c>
      <c r="C128" s="55">
        <f>522-3</f>
        <v>519</v>
      </c>
      <c r="D128" s="55">
        <v>3</v>
      </c>
      <c r="E128" s="55">
        <f>681-3</f>
        <v>678</v>
      </c>
      <c r="F128" s="55">
        <v>3</v>
      </c>
      <c r="G128" s="89">
        <v>15979690610</v>
      </c>
      <c r="H128" s="89">
        <v>15299497210</v>
      </c>
      <c r="I128" s="89">
        <v>1473355000</v>
      </c>
      <c r="J128" s="89">
        <v>4832981150</v>
      </c>
      <c r="K128" s="89">
        <v>9151645350</v>
      </c>
      <c r="L128" s="89">
        <v>11786000</v>
      </c>
      <c r="M128" s="89">
        <v>11446599188</v>
      </c>
      <c r="N128" s="90">
        <v>270575600</v>
      </c>
      <c r="O128" s="90">
        <v>43316600</v>
      </c>
      <c r="P128" s="89">
        <v>441967511</v>
      </c>
      <c r="Q128" s="89">
        <v>529526782</v>
      </c>
      <c r="R128" s="89">
        <v>920487546</v>
      </c>
      <c r="S128" s="89">
        <v>729601362</v>
      </c>
      <c r="T128" s="55">
        <f t="shared" si="3"/>
        <v>190886184</v>
      </c>
      <c r="U128" s="109">
        <v>42551</v>
      </c>
    </row>
    <row r="129" spans="2:21" x14ac:dyDescent="0.25">
      <c r="B129" s="5">
        <v>79</v>
      </c>
      <c r="C129" s="91">
        <v>283</v>
      </c>
      <c r="D129" s="29">
        <v>26</v>
      </c>
      <c r="E129" s="91">
        <v>252</v>
      </c>
      <c r="F129" s="29">
        <v>40</v>
      </c>
      <c r="G129" s="29">
        <v>10130767967</v>
      </c>
      <c r="H129" s="29">
        <v>9799126567</v>
      </c>
      <c r="I129" s="29">
        <v>949470000</v>
      </c>
      <c r="J129" s="29">
        <v>5226366000</v>
      </c>
      <c r="K129" s="29">
        <v>2868559550</v>
      </c>
      <c r="L129" s="29">
        <v>0</v>
      </c>
      <c r="M129" s="29">
        <v>5875703000</v>
      </c>
      <c r="N129" s="84">
        <v>175101500</v>
      </c>
      <c r="O129" s="84">
        <v>468286200</v>
      </c>
      <c r="P129" s="29">
        <v>488017593</v>
      </c>
      <c r="Q129" s="29">
        <v>187945750</v>
      </c>
      <c r="R129" s="29">
        <v>673853941</v>
      </c>
      <c r="S129" s="29">
        <v>555514517</v>
      </c>
      <c r="T129" s="29">
        <f t="shared" si="3"/>
        <v>118339424</v>
      </c>
      <c r="U129" s="106">
        <v>42551</v>
      </c>
    </row>
    <row r="130" spans="2:21" x14ac:dyDescent="0.25">
      <c r="B130" s="83">
        <v>80</v>
      </c>
      <c r="C130" s="92">
        <v>246</v>
      </c>
      <c r="D130" s="55">
        <v>0</v>
      </c>
      <c r="E130" s="92">
        <v>147</v>
      </c>
      <c r="F130" s="55">
        <v>0</v>
      </c>
      <c r="G130" s="55">
        <v>1525744605.622</v>
      </c>
      <c r="H130" s="55">
        <v>1174228178.622</v>
      </c>
      <c r="I130" s="55">
        <v>185675446.30000001</v>
      </c>
      <c r="J130" s="55">
        <v>291363975.80000001</v>
      </c>
      <c r="K130" s="55">
        <v>468157650.99999994</v>
      </c>
      <c r="L130" s="55">
        <v>0</v>
      </c>
      <c r="M130" s="55">
        <v>705657423.87199998</v>
      </c>
      <c r="N130" s="93">
        <v>65427536.331799999</v>
      </c>
      <c r="O130" s="94">
        <v>18685602.719999999</v>
      </c>
      <c r="P130" s="55">
        <v>230080295</v>
      </c>
      <c r="Q130" s="55">
        <v>4265540.0999999996</v>
      </c>
      <c r="R130" s="95">
        <v>109057978.12200001</v>
      </c>
      <c r="S130" s="95">
        <v>144689274.59999999</v>
      </c>
      <c r="T130" s="55">
        <f t="shared" si="3"/>
        <v>-35631296.477999985</v>
      </c>
      <c r="U130" s="109">
        <v>42551</v>
      </c>
    </row>
    <row r="131" spans="2:21" x14ac:dyDescent="0.25">
      <c r="B131" s="4">
        <v>84</v>
      </c>
      <c r="C131" s="10">
        <v>433</v>
      </c>
      <c r="D131" s="10">
        <v>0</v>
      </c>
      <c r="E131" s="10">
        <v>583</v>
      </c>
      <c r="F131" s="10">
        <v>0</v>
      </c>
      <c r="G131" s="42">
        <v>6584504676</v>
      </c>
      <c r="H131" s="42">
        <v>5763697214</v>
      </c>
      <c r="I131" s="42">
        <v>541248554</v>
      </c>
      <c r="J131" s="42">
        <v>4511726122</v>
      </c>
      <c r="K131" s="42">
        <v>866350178</v>
      </c>
      <c r="L131" s="42">
        <v>360000000</v>
      </c>
      <c r="M131" s="10">
        <v>4766922700</v>
      </c>
      <c r="N131" s="14">
        <f>180464900+145804300+77562400+60437100+22842600</f>
        <v>487111300</v>
      </c>
      <c r="O131" s="14">
        <v>42974900</v>
      </c>
      <c r="P131" s="42">
        <v>145777275</v>
      </c>
      <c r="Q131" s="42">
        <v>43390627</v>
      </c>
      <c r="R131" s="42">
        <v>509134473</v>
      </c>
      <c r="S131" s="42">
        <f>506425429</f>
        <v>506425429</v>
      </c>
      <c r="T131" s="10">
        <f t="shared" si="3"/>
        <v>2709044</v>
      </c>
      <c r="U131" s="105">
        <v>42551</v>
      </c>
    </row>
    <row r="132" spans="2:21" x14ac:dyDescent="0.25">
      <c r="B132" s="2">
        <v>39</v>
      </c>
      <c r="C132" s="7">
        <v>23324</v>
      </c>
      <c r="D132" s="7">
        <v>1328</v>
      </c>
      <c r="E132" s="7">
        <v>20342</v>
      </c>
      <c r="F132" s="7">
        <v>1358</v>
      </c>
      <c r="G132" s="7">
        <v>885529637537</v>
      </c>
      <c r="H132" s="7">
        <v>810358822697</v>
      </c>
      <c r="I132" s="7">
        <v>83006870003</v>
      </c>
      <c r="J132" s="7">
        <v>587676931499</v>
      </c>
      <c r="K132" s="7">
        <v>165722701361</v>
      </c>
      <c r="L132" s="27"/>
      <c r="M132" s="7">
        <v>707809949984.28052</v>
      </c>
      <c r="N132" s="7">
        <v>152964897376</v>
      </c>
      <c r="O132" s="7">
        <v>116811161972</v>
      </c>
      <c r="P132" s="7">
        <v>18308905485</v>
      </c>
      <c r="Q132" s="7">
        <v>5019857694</v>
      </c>
      <c r="R132" s="7">
        <v>39474847778</v>
      </c>
      <c r="S132" s="7">
        <v>41654310954</v>
      </c>
      <c r="T132" s="7">
        <f t="shared" si="3"/>
        <v>-2179463176</v>
      </c>
      <c r="U132" s="103">
        <v>42551</v>
      </c>
    </row>
    <row r="133" spans="2:21" x14ac:dyDescent="0.25">
      <c r="B133" s="4">
        <v>44</v>
      </c>
      <c r="C133" s="16">
        <v>3922</v>
      </c>
      <c r="D133" s="15"/>
      <c r="E133" s="16">
        <v>4009</v>
      </c>
      <c r="F133" s="44"/>
      <c r="G133" s="10">
        <v>160055055836.33334</v>
      </c>
      <c r="H133" s="10">
        <v>152992723604</v>
      </c>
      <c r="I133" s="10">
        <v>12389171000</v>
      </c>
      <c r="J133" s="10">
        <v>86879517347</v>
      </c>
      <c r="K133" s="10">
        <v>41484277349</v>
      </c>
      <c r="L133" s="44"/>
      <c r="M133" s="10">
        <v>126913137908</v>
      </c>
      <c r="N133" s="10">
        <v>32039210633</v>
      </c>
      <c r="O133" s="10">
        <v>7404408600</v>
      </c>
      <c r="P133" s="10">
        <v>5320104068</v>
      </c>
      <c r="Q133" s="10">
        <v>1816407227</v>
      </c>
      <c r="R133" s="10">
        <v>7816440009</v>
      </c>
      <c r="S133" s="10">
        <v>8536478845.666667</v>
      </c>
      <c r="T133" s="10">
        <f t="shared" si="3"/>
        <v>-720038836.66666698</v>
      </c>
      <c r="U133" s="105">
        <v>42551</v>
      </c>
    </row>
    <row r="134" spans="2:21" x14ac:dyDescent="0.25">
      <c r="B134" s="4">
        <v>45</v>
      </c>
      <c r="C134" s="10">
        <v>17882</v>
      </c>
      <c r="D134" s="10">
        <v>0</v>
      </c>
      <c r="E134" s="10">
        <v>21122</v>
      </c>
      <c r="F134" s="10">
        <v>0</v>
      </c>
      <c r="G134" s="42">
        <v>739156557836</v>
      </c>
      <c r="H134" s="42">
        <v>722163979189</v>
      </c>
      <c r="I134" s="42">
        <v>58379280375</v>
      </c>
      <c r="J134" s="10">
        <v>496032282399.70001</v>
      </c>
      <c r="K134" s="10">
        <v>112556964747.99994</v>
      </c>
      <c r="L134" s="10">
        <v>0</v>
      </c>
      <c r="M134" s="10">
        <v>504083442894.70001</v>
      </c>
      <c r="N134" s="10">
        <v>56239813820</v>
      </c>
      <c r="O134" s="10">
        <v>9127697225</v>
      </c>
      <c r="P134" s="42">
        <v>23193943840</v>
      </c>
      <c r="Q134" s="42">
        <v>30232097882</v>
      </c>
      <c r="R134" s="42">
        <v>39840819226</v>
      </c>
      <c r="S134" s="42">
        <v>39032901739</v>
      </c>
      <c r="T134" s="10">
        <f t="shared" si="3"/>
        <v>807917487</v>
      </c>
      <c r="U134" s="105">
        <v>42551</v>
      </c>
    </row>
    <row r="135" spans="2:21" x14ac:dyDescent="0.25">
      <c r="B135" s="2">
        <v>48</v>
      </c>
      <c r="C135" s="37">
        <v>7426</v>
      </c>
      <c r="D135" s="37">
        <v>615</v>
      </c>
      <c r="E135" s="37">
        <v>5500</v>
      </c>
      <c r="F135" s="37">
        <v>566</v>
      </c>
      <c r="G135" s="7">
        <v>256245851211.29999</v>
      </c>
      <c r="H135" s="7">
        <v>247119432710.29999</v>
      </c>
      <c r="I135" s="9">
        <v>19870294250.299999</v>
      </c>
      <c r="J135" s="7">
        <v>189762280616</v>
      </c>
      <c r="K135" s="7">
        <v>33771469210</v>
      </c>
      <c r="L135" s="27">
        <v>0</v>
      </c>
      <c r="M135" s="9">
        <v>155277172581</v>
      </c>
      <c r="N135" s="9">
        <v>20504715850</v>
      </c>
      <c r="O135" s="7">
        <v>13673876330</v>
      </c>
      <c r="P135" s="7">
        <v>8358220002</v>
      </c>
      <c r="Q135" s="7">
        <v>6703290285</v>
      </c>
      <c r="R135" s="7">
        <v>13748533523</v>
      </c>
      <c r="S135" s="7">
        <v>14649804971</v>
      </c>
      <c r="T135" s="7">
        <f t="shared" si="3"/>
        <v>-901271448</v>
      </c>
      <c r="U135" s="103">
        <v>42551</v>
      </c>
    </row>
    <row r="136" spans="2:21" x14ac:dyDescent="0.25">
      <c r="B136" s="4">
        <v>49</v>
      </c>
      <c r="C136" s="10">
        <v>2740</v>
      </c>
      <c r="D136" s="10">
        <v>206</v>
      </c>
      <c r="E136" s="10">
        <v>3004</v>
      </c>
      <c r="F136" s="10">
        <v>200</v>
      </c>
      <c r="G136" s="18">
        <v>95047865520</v>
      </c>
      <c r="H136" s="42">
        <v>92203393046</v>
      </c>
      <c r="I136" s="16">
        <v>7819294200</v>
      </c>
      <c r="J136" s="16">
        <v>70310074823</v>
      </c>
      <c r="K136" s="16">
        <v>8786294950</v>
      </c>
      <c r="L136" s="44"/>
      <c r="M136" s="42">
        <v>85191477200</v>
      </c>
      <c r="N136" s="42">
        <v>21204022825</v>
      </c>
      <c r="O136" s="42">
        <v>17471330425</v>
      </c>
      <c r="P136" s="18">
        <v>2818951578</v>
      </c>
      <c r="Q136" s="18">
        <v>1222599404</v>
      </c>
      <c r="R136" s="42">
        <v>5480018731</v>
      </c>
      <c r="S136" s="42">
        <v>5460541879</v>
      </c>
      <c r="T136" s="16">
        <f t="shared" si="3"/>
        <v>19476852</v>
      </c>
      <c r="U136" s="105">
        <v>42551</v>
      </c>
    </row>
    <row r="137" spans="2:21" x14ac:dyDescent="0.25">
      <c r="B137" s="4">
        <v>58</v>
      </c>
      <c r="C137" s="42">
        <v>2970</v>
      </c>
      <c r="D137" s="42">
        <v>241</v>
      </c>
      <c r="E137" s="42">
        <v>2580</v>
      </c>
      <c r="F137" s="42">
        <v>259</v>
      </c>
      <c r="G137" s="10">
        <v>122875208927</v>
      </c>
      <c r="H137" s="10">
        <v>82329142251</v>
      </c>
      <c r="I137" s="10">
        <v>12411721599</v>
      </c>
      <c r="J137" s="42">
        <v>78753781099</v>
      </c>
      <c r="K137" s="10">
        <v>25743281420</v>
      </c>
      <c r="L137" s="10">
        <v>1733280000</v>
      </c>
      <c r="M137" s="10">
        <v>73621595463</v>
      </c>
      <c r="N137" s="10">
        <v>6641342308</v>
      </c>
      <c r="O137" s="10">
        <v>3702734664</v>
      </c>
      <c r="P137" s="10">
        <v>822998675.39999998</v>
      </c>
      <c r="Q137" s="10">
        <v>960680933.20000005</v>
      </c>
      <c r="R137" s="10">
        <v>3989652382</v>
      </c>
      <c r="S137" s="10">
        <v>6930203578</v>
      </c>
      <c r="T137" s="10">
        <f t="shared" si="3"/>
        <v>-2940551196</v>
      </c>
      <c r="U137" s="105">
        <v>42551</v>
      </c>
    </row>
    <row r="138" spans="2:21" x14ac:dyDescent="0.25">
      <c r="B138" s="4">
        <v>55</v>
      </c>
      <c r="C138" s="42">
        <v>1801</v>
      </c>
      <c r="D138" s="42">
        <v>171</v>
      </c>
      <c r="E138" s="42">
        <v>1321</v>
      </c>
      <c r="F138" s="10">
        <v>151</v>
      </c>
      <c r="G138" s="42">
        <v>36700766895</v>
      </c>
      <c r="H138" s="42">
        <v>27070808065</v>
      </c>
      <c r="I138" s="42">
        <v>5091238300</v>
      </c>
      <c r="J138" s="42">
        <v>21076045617</v>
      </c>
      <c r="K138" s="10">
        <v>7256475650</v>
      </c>
      <c r="L138" s="44"/>
      <c r="M138" s="42">
        <v>22591266700</v>
      </c>
      <c r="N138" s="42">
        <v>2273831600</v>
      </c>
      <c r="O138" s="42">
        <v>9677145800</v>
      </c>
      <c r="P138" s="42">
        <v>1997419773</v>
      </c>
      <c r="Q138" s="42">
        <v>374136917</v>
      </c>
      <c r="R138" s="42">
        <v>676979963</v>
      </c>
      <c r="S138" s="42">
        <v>1387663730</v>
      </c>
      <c r="T138" s="10">
        <f>R138-S138</f>
        <v>-710683767</v>
      </c>
      <c r="U138" s="105">
        <v>42551</v>
      </c>
    </row>
    <row r="139" spans="2:21" x14ac:dyDescent="0.25">
      <c r="B139" s="2">
        <v>60</v>
      </c>
      <c r="C139" s="7">
        <v>1511</v>
      </c>
      <c r="D139" s="7">
        <v>110</v>
      </c>
      <c r="E139" s="7">
        <v>2045</v>
      </c>
      <c r="F139" s="7">
        <v>94</v>
      </c>
      <c r="G139" s="7">
        <v>34273369016</v>
      </c>
      <c r="H139" s="9">
        <v>32028465785</v>
      </c>
      <c r="I139" s="9">
        <v>5052220000</v>
      </c>
      <c r="J139" s="7">
        <v>17617883500</v>
      </c>
      <c r="K139" s="9">
        <v>6741536500</v>
      </c>
      <c r="L139" s="27"/>
      <c r="M139" s="9">
        <v>23306541000</v>
      </c>
      <c r="N139" s="9">
        <v>4211885000</v>
      </c>
      <c r="O139" s="9">
        <v>7597671500</v>
      </c>
      <c r="P139" s="7">
        <v>2523000413</v>
      </c>
      <c r="Q139" s="7">
        <v>352939449</v>
      </c>
      <c r="R139" s="7">
        <v>1255817018</v>
      </c>
      <c r="S139" s="7">
        <v>1236508341</v>
      </c>
      <c r="T139" s="7">
        <f t="shared" ref="T139:T172" si="4">R139-S139</f>
        <v>19308677</v>
      </c>
      <c r="U139" s="103">
        <v>42551</v>
      </c>
    </row>
    <row r="140" spans="2:21" x14ac:dyDescent="0.25">
      <c r="B140" s="4">
        <v>61</v>
      </c>
      <c r="C140" s="16">
        <v>1388</v>
      </c>
      <c r="D140" s="16">
        <v>132</v>
      </c>
      <c r="E140" s="16">
        <v>1531</v>
      </c>
      <c r="F140" s="16">
        <v>125</v>
      </c>
      <c r="G140" s="18">
        <v>46633957112</v>
      </c>
      <c r="H140" s="18">
        <v>39976966223</v>
      </c>
      <c r="I140" s="18">
        <v>4788860000</v>
      </c>
      <c r="J140" s="18">
        <v>25434777850</v>
      </c>
      <c r="K140" s="18">
        <v>5479134350</v>
      </c>
      <c r="L140" s="18">
        <v>65000000</v>
      </c>
      <c r="M140" s="18">
        <v>31609711150</v>
      </c>
      <c r="N140" s="18">
        <v>2277004850</v>
      </c>
      <c r="O140" s="18">
        <v>3359346500</v>
      </c>
      <c r="P140" s="18">
        <v>1751415832</v>
      </c>
      <c r="Q140" s="18">
        <v>358537822</v>
      </c>
      <c r="R140" s="18">
        <v>2459136957</v>
      </c>
      <c r="S140" s="18">
        <v>2392215100</v>
      </c>
      <c r="T140" s="10">
        <f t="shared" si="4"/>
        <v>66921857</v>
      </c>
      <c r="U140" s="105">
        <v>42551</v>
      </c>
    </row>
    <row r="141" spans="2:21" x14ac:dyDescent="0.25">
      <c r="B141" s="2">
        <v>62</v>
      </c>
      <c r="C141" s="7">
        <v>10607</v>
      </c>
      <c r="D141" s="7">
        <v>1647</v>
      </c>
      <c r="E141" s="7">
        <v>17262</v>
      </c>
      <c r="F141" s="7">
        <v>1677</v>
      </c>
      <c r="G141" s="9">
        <v>371696700517</v>
      </c>
      <c r="H141" s="9">
        <v>341504539945</v>
      </c>
      <c r="I141" s="9">
        <v>50699183600</v>
      </c>
      <c r="J141" s="9">
        <v>205516759025</v>
      </c>
      <c r="K141" s="9">
        <v>69334197940</v>
      </c>
      <c r="L141" s="9">
        <v>262500000</v>
      </c>
      <c r="M141" s="9">
        <v>226279881000</v>
      </c>
      <c r="N141" s="9">
        <v>14725357550</v>
      </c>
      <c r="O141" s="9">
        <v>1087122800</v>
      </c>
      <c r="P141" s="9">
        <v>18976051040</v>
      </c>
      <c r="Q141" s="9">
        <v>3443713548</v>
      </c>
      <c r="R141" s="96">
        <v>22552158914</v>
      </c>
      <c r="S141" s="7">
        <v>22372187503</v>
      </c>
      <c r="T141" s="7">
        <f t="shared" si="4"/>
        <v>179971411</v>
      </c>
      <c r="U141" s="103">
        <v>42551</v>
      </c>
    </row>
    <row r="142" spans="2:21" x14ac:dyDescent="0.25">
      <c r="B142" s="2">
        <v>64</v>
      </c>
      <c r="C142" s="9">
        <v>5239</v>
      </c>
      <c r="D142" s="9">
        <v>423</v>
      </c>
      <c r="E142" s="9">
        <v>5240</v>
      </c>
      <c r="F142" s="9">
        <v>390</v>
      </c>
      <c r="G142" s="9">
        <v>158481454338</v>
      </c>
      <c r="H142" s="9">
        <v>157828734338</v>
      </c>
      <c r="I142" s="9">
        <v>17016220000</v>
      </c>
      <c r="J142" s="9">
        <v>86735510100</v>
      </c>
      <c r="K142" s="9">
        <v>44825169300</v>
      </c>
      <c r="L142" s="7">
        <v>0</v>
      </c>
      <c r="M142" s="9">
        <v>102337427300</v>
      </c>
      <c r="N142" s="9">
        <v>3651930600</v>
      </c>
      <c r="O142" s="9">
        <v>73156900</v>
      </c>
      <c r="P142" s="9">
        <v>6133046390</v>
      </c>
      <c r="Q142" s="9">
        <v>1540195401</v>
      </c>
      <c r="R142" s="7">
        <v>11281220518</v>
      </c>
      <c r="S142" s="7">
        <v>11522426302</v>
      </c>
      <c r="T142" s="7">
        <f t="shared" si="4"/>
        <v>-241205784</v>
      </c>
      <c r="U142" s="103">
        <v>42551</v>
      </c>
    </row>
    <row r="143" spans="2:21" x14ac:dyDescent="0.25">
      <c r="B143" s="2">
        <v>65</v>
      </c>
      <c r="C143" s="38">
        <v>1661</v>
      </c>
      <c r="D143" s="38">
        <v>60</v>
      </c>
      <c r="E143" s="38">
        <v>1447</v>
      </c>
      <c r="F143" s="38">
        <v>51</v>
      </c>
      <c r="G143" s="61">
        <v>59595234607</v>
      </c>
      <c r="H143" s="61">
        <v>58493326909</v>
      </c>
      <c r="I143" s="7">
        <v>4463235000</v>
      </c>
      <c r="J143" s="61">
        <v>37875213900</v>
      </c>
      <c r="K143" s="61">
        <v>12906949100</v>
      </c>
      <c r="L143" s="7">
        <v>0</v>
      </c>
      <c r="M143" s="61">
        <v>41078040000</v>
      </c>
      <c r="N143" s="61">
        <v>3533521900</v>
      </c>
      <c r="O143" s="61">
        <v>2473058900</v>
      </c>
      <c r="P143" s="61">
        <v>1697264842</v>
      </c>
      <c r="Q143" s="61">
        <v>302414832</v>
      </c>
      <c r="R143" s="61">
        <v>2643109757</v>
      </c>
      <c r="S143" s="61">
        <v>2452151128</v>
      </c>
      <c r="T143" s="7">
        <f t="shared" si="4"/>
        <v>190958629</v>
      </c>
      <c r="U143" s="103">
        <v>42551</v>
      </c>
    </row>
    <row r="144" spans="2:21" x14ac:dyDescent="0.25">
      <c r="B144" s="2">
        <v>66</v>
      </c>
      <c r="C144" s="7">
        <v>4436</v>
      </c>
      <c r="D144" s="7">
        <v>281</v>
      </c>
      <c r="E144" s="7">
        <v>4767</v>
      </c>
      <c r="F144" s="7">
        <v>189</v>
      </c>
      <c r="G144" s="9">
        <v>123784171933</v>
      </c>
      <c r="H144" s="9">
        <v>117023224467</v>
      </c>
      <c r="I144" s="7">
        <v>12902710000</v>
      </c>
      <c r="J144" s="7">
        <v>76975064400</v>
      </c>
      <c r="K144" s="7">
        <v>24169023690</v>
      </c>
      <c r="L144" s="27"/>
      <c r="M144" s="7">
        <v>90580340250</v>
      </c>
      <c r="N144" s="50">
        <v>7320572200</v>
      </c>
      <c r="O144" s="11">
        <v>1320983400</v>
      </c>
      <c r="P144" s="9">
        <v>1967343635</v>
      </c>
      <c r="Q144" s="9">
        <v>275921001</v>
      </c>
      <c r="R144" s="9">
        <v>5936008047</v>
      </c>
      <c r="S144" s="9">
        <v>6240144675</v>
      </c>
      <c r="T144" s="7">
        <f t="shared" si="4"/>
        <v>-304136628</v>
      </c>
      <c r="U144" s="103">
        <v>42551</v>
      </c>
    </row>
    <row r="145" spans="2:21" x14ac:dyDescent="0.25">
      <c r="B145" s="2">
        <v>67</v>
      </c>
      <c r="C145" s="7">
        <v>9940</v>
      </c>
      <c r="D145" s="7">
        <v>881</v>
      </c>
      <c r="E145" s="7">
        <v>12969</v>
      </c>
      <c r="F145" s="7">
        <v>864</v>
      </c>
      <c r="G145" s="9">
        <v>316731950055</v>
      </c>
      <c r="H145" s="9">
        <v>307695833527</v>
      </c>
      <c r="I145" s="9">
        <v>43333187350</v>
      </c>
      <c r="J145" s="9">
        <v>166892498000</v>
      </c>
      <c r="K145" s="9">
        <v>72952225700</v>
      </c>
      <c r="L145" s="27"/>
      <c r="M145" s="9">
        <v>221453902450</v>
      </c>
      <c r="N145" s="9">
        <v>22300817900</v>
      </c>
      <c r="O145" s="9">
        <v>5638059350</v>
      </c>
      <c r="P145" s="7">
        <v>10595749628</v>
      </c>
      <c r="Q145" s="7">
        <v>3594155129</v>
      </c>
      <c r="R145" s="7">
        <v>15382632684</v>
      </c>
      <c r="S145" s="9">
        <v>15100253680</v>
      </c>
      <c r="T145" s="7">
        <f t="shared" si="4"/>
        <v>282379004</v>
      </c>
      <c r="U145" s="103">
        <v>42551</v>
      </c>
    </row>
    <row r="146" spans="2:21" x14ac:dyDescent="0.25">
      <c r="B146" s="2">
        <v>68</v>
      </c>
      <c r="C146" s="51">
        <v>1016</v>
      </c>
      <c r="D146" s="7">
        <v>0</v>
      </c>
      <c r="E146" s="7">
        <v>1478</v>
      </c>
      <c r="F146" s="7">
        <v>0</v>
      </c>
      <c r="G146" s="7">
        <v>23751938477</v>
      </c>
      <c r="H146" s="7">
        <v>20246786296</v>
      </c>
      <c r="I146" s="51">
        <v>2475329900</v>
      </c>
      <c r="J146" s="51">
        <v>11051282817</v>
      </c>
      <c r="K146" s="51">
        <v>5502411466</v>
      </c>
      <c r="L146" s="7">
        <v>1699999400</v>
      </c>
      <c r="M146" s="82">
        <v>15300416430</v>
      </c>
      <c r="N146" s="51">
        <v>1242477780</v>
      </c>
      <c r="O146" s="51">
        <v>366076900</v>
      </c>
      <c r="P146" s="7">
        <v>893803422</v>
      </c>
      <c r="Q146" s="7">
        <v>350299782</v>
      </c>
      <c r="R146" s="7">
        <v>1877548263</v>
      </c>
      <c r="S146" s="9">
        <v>1798667420</v>
      </c>
      <c r="T146" s="7">
        <f t="shared" si="4"/>
        <v>78880843</v>
      </c>
      <c r="U146" s="103">
        <v>42551</v>
      </c>
    </row>
    <row r="147" spans="2:21" x14ac:dyDescent="0.25">
      <c r="B147" s="2">
        <v>71</v>
      </c>
      <c r="C147" s="37">
        <v>1838</v>
      </c>
      <c r="D147" s="37">
        <v>85</v>
      </c>
      <c r="E147" s="37">
        <v>2787</v>
      </c>
      <c r="F147" s="37">
        <v>89</v>
      </c>
      <c r="G147" s="9">
        <v>70548797224</v>
      </c>
      <c r="H147" s="9">
        <v>63128187663</v>
      </c>
      <c r="I147" s="7">
        <v>8407149000</v>
      </c>
      <c r="J147" s="7">
        <v>38286093650</v>
      </c>
      <c r="K147" s="7">
        <v>11571889750</v>
      </c>
      <c r="L147" s="27"/>
      <c r="M147" s="7">
        <v>50154862700</v>
      </c>
      <c r="N147" s="7">
        <v>8018903200</v>
      </c>
      <c r="O147" s="7">
        <v>6083635500</v>
      </c>
      <c r="P147" s="9">
        <v>6259180957</v>
      </c>
      <c r="Q147" s="9">
        <v>1062553041</v>
      </c>
      <c r="R147" s="9">
        <v>3056898102</v>
      </c>
      <c r="S147" s="9">
        <v>3007918050</v>
      </c>
      <c r="T147" s="7">
        <f t="shared" si="4"/>
        <v>48980052</v>
      </c>
      <c r="U147" s="103">
        <v>42551</v>
      </c>
    </row>
    <row r="148" spans="2:21" x14ac:dyDescent="0.25">
      <c r="B148" s="2">
        <v>72</v>
      </c>
      <c r="C148" s="9">
        <v>601</v>
      </c>
      <c r="D148" s="9">
        <v>122</v>
      </c>
      <c r="E148" s="9">
        <v>789</v>
      </c>
      <c r="F148" s="9">
        <v>93</v>
      </c>
      <c r="G148" s="7">
        <v>14357441932</v>
      </c>
      <c r="H148" s="7">
        <v>13653214487</v>
      </c>
      <c r="I148" s="7">
        <v>2279450000</v>
      </c>
      <c r="J148" s="7">
        <v>8564520900</v>
      </c>
      <c r="K148" s="61">
        <v>1698673500</v>
      </c>
      <c r="L148" s="7">
        <v>0</v>
      </c>
      <c r="M148" s="7">
        <v>9439958600</v>
      </c>
      <c r="N148" s="7">
        <v>2015392350</v>
      </c>
      <c r="O148" s="7">
        <v>105734400</v>
      </c>
      <c r="P148" s="7">
        <v>545549400</v>
      </c>
      <c r="Q148" s="7">
        <v>162755961</v>
      </c>
      <c r="R148" s="7">
        <v>987901195</v>
      </c>
      <c r="S148" s="7">
        <v>999843867</v>
      </c>
      <c r="T148" s="7">
        <f t="shared" si="4"/>
        <v>-11942672</v>
      </c>
      <c r="U148" s="103">
        <v>42551</v>
      </c>
    </row>
    <row r="149" spans="2:21" x14ac:dyDescent="0.25">
      <c r="B149" s="4">
        <v>74</v>
      </c>
      <c r="C149" s="42">
        <v>509</v>
      </c>
      <c r="D149" s="42">
        <v>112</v>
      </c>
      <c r="E149" s="15">
        <v>581</v>
      </c>
      <c r="F149" s="15">
        <v>92</v>
      </c>
      <c r="G149" s="10">
        <v>40378646551</v>
      </c>
      <c r="H149" s="10">
        <v>38760788411</v>
      </c>
      <c r="I149" s="10">
        <v>4146948000</v>
      </c>
      <c r="J149" s="10">
        <v>21265799033</v>
      </c>
      <c r="K149" s="10">
        <v>9367367140</v>
      </c>
      <c r="L149" s="10">
        <v>783332600</v>
      </c>
      <c r="M149" s="10">
        <v>34283783000</v>
      </c>
      <c r="N149" s="18">
        <v>3403402000</v>
      </c>
      <c r="O149" s="18">
        <v>107956000</v>
      </c>
      <c r="P149" s="10">
        <v>1561824143</v>
      </c>
      <c r="Q149" s="10">
        <v>809924391</v>
      </c>
      <c r="R149" s="10">
        <v>2020168139</v>
      </c>
      <c r="S149" s="10">
        <v>1983552518</v>
      </c>
      <c r="T149" s="10">
        <f t="shared" si="4"/>
        <v>36615621</v>
      </c>
      <c r="U149" s="105">
        <v>42551</v>
      </c>
    </row>
    <row r="150" spans="2:21" x14ac:dyDescent="0.25">
      <c r="B150" s="2">
        <v>75</v>
      </c>
      <c r="C150" s="7">
        <v>1029</v>
      </c>
      <c r="D150" s="7">
        <v>11</v>
      </c>
      <c r="E150" s="7">
        <v>1059</v>
      </c>
      <c r="F150" s="7">
        <v>8</v>
      </c>
      <c r="G150" s="7">
        <v>35158263614</v>
      </c>
      <c r="H150" s="7">
        <v>32996621814</v>
      </c>
      <c r="I150" s="9">
        <v>2980085000</v>
      </c>
      <c r="J150" s="9">
        <v>22562151150</v>
      </c>
      <c r="K150" s="97">
        <v>4345708650</v>
      </c>
      <c r="L150" s="7">
        <v>0</v>
      </c>
      <c r="M150" s="7">
        <v>20881876600</v>
      </c>
      <c r="N150" s="7">
        <v>2138135250</v>
      </c>
      <c r="O150" s="7">
        <v>1069368550</v>
      </c>
      <c r="P150" s="9">
        <v>3075684028</v>
      </c>
      <c r="Q150" s="9">
        <v>41912850</v>
      </c>
      <c r="R150" s="7">
        <v>2764957067</v>
      </c>
      <c r="S150" s="9">
        <v>2682695031</v>
      </c>
      <c r="T150" s="7">
        <f t="shared" si="4"/>
        <v>82262036</v>
      </c>
      <c r="U150" s="103">
        <v>42551</v>
      </c>
    </row>
    <row r="151" spans="2:21" x14ac:dyDescent="0.25">
      <c r="B151" s="2">
        <v>81</v>
      </c>
      <c r="C151" s="9">
        <v>363</v>
      </c>
      <c r="D151" s="9">
        <v>5</v>
      </c>
      <c r="E151" s="9">
        <v>332</v>
      </c>
      <c r="F151" s="37">
        <v>6</v>
      </c>
      <c r="G151" s="9">
        <v>8243790743</v>
      </c>
      <c r="H151" s="9">
        <v>7898263043</v>
      </c>
      <c r="I151" s="9">
        <v>944670000</v>
      </c>
      <c r="J151" s="9">
        <v>5644911650</v>
      </c>
      <c r="K151" s="9">
        <v>889431950</v>
      </c>
      <c r="L151" s="27"/>
      <c r="M151" s="9">
        <v>4763548800</v>
      </c>
      <c r="N151" s="42">
        <v>1159900700</v>
      </c>
      <c r="O151" s="42">
        <v>53630900</v>
      </c>
      <c r="P151" s="9">
        <v>304441208</v>
      </c>
      <c r="Q151" s="9">
        <v>58913437</v>
      </c>
      <c r="R151" s="7">
        <v>537585663</v>
      </c>
      <c r="S151" s="9">
        <f>523093260+44267000</f>
        <v>567360260</v>
      </c>
      <c r="T151" s="7">
        <f t="shared" si="4"/>
        <v>-29774597</v>
      </c>
      <c r="U151" s="103">
        <v>42551</v>
      </c>
    </row>
    <row r="152" spans="2:21" x14ac:dyDescent="0.25">
      <c r="B152" s="2">
        <v>82</v>
      </c>
      <c r="C152" s="7">
        <v>483</v>
      </c>
      <c r="D152" s="7">
        <v>0</v>
      </c>
      <c r="E152" s="7">
        <v>577</v>
      </c>
      <c r="F152" s="7">
        <v>0</v>
      </c>
      <c r="G152" s="9">
        <v>3311683605</v>
      </c>
      <c r="H152" s="9">
        <v>2706224021</v>
      </c>
      <c r="I152" s="7">
        <v>309696900</v>
      </c>
      <c r="J152" s="7">
        <v>1324955850</v>
      </c>
      <c r="K152" s="7">
        <v>1037307435</v>
      </c>
      <c r="L152" s="98">
        <v>176665900</v>
      </c>
      <c r="M152" s="9">
        <v>2432558050</v>
      </c>
      <c r="N152" s="11">
        <v>155373200</v>
      </c>
      <c r="O152" s="11">
        <v>0</v>
      </c>
      <c r="P152" s="9">
        <v>98591180</v>
      </c>
      <c r="Q152" s="9">
        <v>118032960</v>
      </c>
      <c r="R152" s="9">
        <v>142416509</v>
      </c>
      <c r="S152" s="9">
        <f>149911163-20127048</f>
        <v>129784115</v>
      </c>
      <c r="T152" s="7">
        <f t="shared" si="4"/>
        <v>12632394</v>
      </c>
      <c r="U152" s="103">
        <v>42551</v>
      </c>
    </row>
    <row r="153" spans="2:21" x14ac:dyDescent="0.25">
      <c r="B153" s="5">
        <v>1</v>
      </c>
      <c r="C153" s="29">
        <v>27547</v>
      </c>
      <c r="D153" s="29">
        <v>0</v>
      </c>
      <c r="E153" s="29">
        <v>24215</v>
      </c>
      <c r="F153" s="29">
        <v>0</v>
      </c>
      <c r="G153" s="29">
        <v>539980856406</v>
      </c>
      <c r="H153" s="29">
        <v>491364092216</v>
      </c>
      <c r="I153" s="29">
        <v>90478529275</v>
      </c>
      <c r="J153" s="29">
        <v>331466100935</v>
      </c>
      <c r="K153" s="29">
        <f>416356738408-J153</f>
        <v>84890637473</v>
      </c>
      <c r="L153" s="29">
        <v>0</v>
      </c>
      <c r="M153" s="29">
        <v>416384212857</v>
      </c>
      <c r="N153" s="84">
        <v>23609944271</v>
      </c>
      <c r="O153" s="84">
        <v>10183105800</v>
      </c>
      <c r="P153" s="29">
        <v>7615086860</v>
      </c>
      <c r="Q153" s="29">
        <v>510687218</v>
      </c>
      <c r="R153" s="29">
        <f>25581459364+129004044</f>
        <v>25710463408</v>
      </c>
      <c r="S153" s="29">
        <v>25108186691</v>
      </c>
      <c r="T153" s="29">
        <f t="shared" si="4"/>
        <v>602276717</v>
      </c>
      <c r="U153" s="99">
        <v>42521</v>
      </c>
    </row>
    <row r="154" spans="2:21" x14ac:dyDescent="0.25">
      <c r="B154" s="5">
        <v>7</v>
      </c>
      <c r="C154" s="29">
        <v>3363</v>
      </c>
      <c r="D154" s="29">
        <v>621</v>
      </c>
      <c r="E154" s="29">
        <v>3645</v>
      </c>
      <c r="F154" s="29">
        <v>592</v>
      </c>
      <c r="G154" s="29">
        <v>90017284300</v>
      </c>
      <c r="H154" s="29">
        <v>83629579900</v>
      </c>
      <c r="I154" s="29">
        <v>8520544700</v>
      </c>
      <c r="J154" s="29">
        <v>64537379550</v>
      </c>
      <c r="K154" s="29">
        <v>11790753150</v>
      </c>
      <c r="L154" s="29">
        <v>0</v>
      </c>
      <c r="M154" s="29">
        <v>74194032300</v>
      </c>
      <c r="N154" s="84">
        <f>6130956250-O154</f>
        <v>3812802950</v>
      </c>
      <c r="O154" s="84">
        <v>2318153300</v>
      </c>
      <c r="P154" s="29">
        <v>1071450400</v>
      </c>
      <c r="Q154" s="29">
        <v>90978300</v>
      </c>
      <c r="R154" s="29">
        <v>3911319050</v>
      </c>
      <c r="S154" s="29">
        <v>3868888400</v>
      </c>
      <c r="T154" s="29">
        <f t="shared" si="4"/>
        <v>42430650</v>
      </c>
      <c r="U154" s="99">
        <v>42521</v>
      </c>
    </row>
    <row r="155" spans="2:21" x14ac:dyDescent="0.25">
      <c r="B155" s="5">
        <v>12</v>
      </c>
      <c r="C155" s="29">
        <v>7076</v>
      </c>
      <c r="D155" s="29">
        <v>0</v>
      </c>
      <c r="E155" s="29">
        <v>5127</v>
      </c>
      <c r="F155" s="29">
        <v>0</v>
      </c>
      <c r="G155" s="29">
        <v>80113868890</v>
      </c>
      <c r="H155" s="29">
        <v>72609562896</v>
      </c>
      <c r="I155" s="29">
        <v>13015702800</v>
      </c>
      <c r="J155" s="29">
        <v>49140113679</v>
      </c>
      <c r="K155" s="29">
        <f>55888967119-J155</f>
        <v>6748853440</v>
      </c>
      <c r="L155" s="29">
        <v>371750000</v>
      </c>
      <c r="M155" s="29">
        <v>63372716950</v>
      </c>
      <c r="N155" s="84">
        <f>13514161500-2719347950</f>
        <v>10794813550</v>
      </c>
      <c r="O155" s="84">
        <v>2719347950</v>
      </c>
      <c r="P155" s="29">
        <v>3107691175</v>
      </c>
      <c r="Q155" s="29">
        <v>3032770385</v>
      </c>
      <c r="R155" s="29">
        <f>3278429335+62759659</f>
        <v>3341188994</v>
      </c>
      <c r="S155" s="29">
        <v>3370038815</v>
      </c>
      <c r="T155" s="29">
        <f t="shared" si="4"/>
        <v>-28849821</v>
      </c>
      <c r="U155" s="99">
        <v>42521</v>
      </c>
    </row>
    <row r="156" spans="2:21" x14ac:dyDescent="0.25">
      <c r="B156" s="5">
        <v>14</v>
      </c>
      <c r="C156" s="29">
        <v>10420</v>
      </c>
      <c r="D156" s="29">
        <v>470</v>
      </c>
      <c r="E156" s="29">
        <v>6521</v>
      </c>
      <c r="F156" s="29">
        <v>445</v>
      </c>
      <c r="G156" s="29">
        <v>183422290658</v>
      </c>
      <c r="H156" s="29">
        <v>156921098046</v>
      </c>
      <c r="I156" s="29">
        <f>7531339100+15759279250</f>
        <v>23290618350</v>
      </c>
      <c r="J156" s="29">
        <v>98435141084</v>
      </c>
      <c r="K156" s="29">
        <f>141068046340-J156</f>
        <v>42632905256</v>
      </c>
      <c r="L156" s="29">
        <v>0</v>
      </c>
      <c r="M156" s="29">
        <v>135983934300</v>
      </c>
      <c r="N156" s="84">
        <v>29660861700</v>
      </c>
      <c r="O156" s="84">
        <v>3402670000</v>
      </c>
      <c r="P156" s="29">
        <v>3240185540</v>
      </c>
      <c r="Q156" s="29">
        <v>7239447143</v>
      </c>
      <c r="R156" s="29">
        <f>8706453500+269245089</f>
        <v>8975698589</v>
      </c>
      <c r="S156" s="29">
        <v>9572447986</v>
      </c>
      <c r="T156" s="29">
        <f t="shared" si="4"/>
        <v>-596749397</v>
      </c>
      <c r="U156" s="99">
        <v>42521</v>
      </c>
    </row>
    <row r="157" spans="2:21" x14ac:dyDescent="0.25">
      <c r="B157" s="5">
        <v>40</v>
      </c>
      <c r="C157" s="29">
        <v>10893</v>
      </c>
      <c r="D157" s="29">
        <v>0</v>
      </c>
      <c r="E157" s="29">
        <v>11063</v>
      </c>
      <c r="F157" s="29">
        <v>0</v>
      </c>
      <c r="G157" s="29">
        <v>243737818742.31335</v>
      </c>
      <c r="H157" s="29">
        <v>206110029800.60999</v>
      </c>
      <c r="I157" s="29">
        <v>38351216000</v>
      </c>
      <c r="J157" s="29">
        <v>135309901235</v>
      </c>
      <c r="K157" s="29">
        <v>50219068202.26001</v>
      </c>
      <c r="L157" s="29">
        <v>9717300</v>
      </c>
      <c r="M157" s="29">
        <v>174918291150</v>
      </c>
      <c r="N157" s="29">
        <v>31041631175</v>
      </c>
      <c r="O157" s="29">
        <v>37298171975</v>
      </c>
      <c r="P157" s="29">
        <v>8378289864.1260004</v>
      </c>
      <c r="Q157" s="29">
        <v>4423926518.4460001</v>
      </c>
      <c r="R157" s="29">
        <v>11051874207.23</v>
      </c>
      <c r="S157" s="29">
        <v>10822189520.6</v>
      </c>
      <c r="T157" s="29">
        <f t="shared" si="4"/>
        <v>229684686.62999916</v>
      </c>
      <c r="U157" s="99">
        <v>42521</v>
      </c>
    </row>
    <row r="158" spans="2:21" x14ac:dyDescent="0.25">
      <c r="B158" s="5">
        <v>46</v>
      </c>
      <c r="C158" s="29">
        <v>2064</v>
      </c>
      <c r="D158" s="29">
        <v>69</v>
      </c>
      <c r="E158" s="29">
        <v>1398</v>
      </c>
      <c r="F158" s="29">
        <v>36</v>
      </c>
      <c r="G158" s="29">
        <v>36181279114.730003</v>
      </c>
      <c r="H158" s="29">
        <v>32080786097.060001</v>
      </c>
      <c r="I158" s="29">
        <v>4218300023</v>
      </c>
      <c r="J158" s="29">
        <v>24946495874</v>
      </c>
      <c r="K158" s="29">
        <v>2750161530</v>
      </c>
      <c r="L158" s="29">
        <v>3224624600</v>
      </c>
      <c r="M158" s="29">
        <v>26542365431</v>
      </c>
      <c r="N158" s="29">
        <v>4612163400</v>
      </c>
      <c r="O158" s="29">
        <v>914095750</v>
      </c>
      <c r="P158" s="29">
        <v>822553498</v>
      </c>
      <c r="Q158" s="29">
        <v>277321649</v>
      </c>
      <c r="R158" s="29">
        <v>1832876782.1300001</v>
      </c>
      <c r="S158" s="29">
        <v>1976844346.1899998</v>
      </c>
      <c r="T158" s="29">
        <f t="shared" si="4"/>
        <v>-143967564.0599997</v>
      </c>
      <c r="U158" s="99">
        <v>42521</v>
      </c>
    </row>
    <row r="159" spans="2:21" x14ac:dyDescent="0.25">
      <c r="B159" s="5">
        <v>53</v>
      </c>
      <c r="C159" s="29">
        <v>11212</v>
      </c>
      <c r="D159" s="29">
        <v>0</v>
      </c>
      <c r="E159" s="29">
        <v>9987</v>
      </c>
      <c r="F159" s="29">
        <v>0</v>
      </c>
      <c r="G159" s="29">
        <v>258027944979</v>
      </c>
      <c r="H159" s="29">
        <v>245266031050</v>
      </c>
      <c r="I159" s="29">
        <v>34757575620</v>
      </c>
      <c r="J159" s="29">
        <v>152480156025</v>
      </c>
      <c r="K159" s="29">
        <v>41361900700</v>
      </c>
      <c r="L159" s="29">
        <v>0</v>
      </c>
      <c r="M159" s="29">
        <v>174784861800</v>
      </c>
      <c r="N159" s="29">
        <v>25135009500</v>
      </c>
      <c r="O159" s="29">
        <v>27113498600</v>
      </c>
      <c r="P159" s="29">
        <v>11540715113</v>
      </c>
      <c r="Q159" s="29">
        <v>4081430076</v>
      </c>
      <c r="R159" s="29">
        <v>9779309244</v>
      </c>
      <c r="S159" s="29">
        <v>9414512089.1509609</v>
      </c>
      <c r="T159" s="29">
        <f t="shared" si="4"/>
        <v>364797154.84903908</v>
      </c>
      <c r="U159" s="99">
        <v>42521</v>
      </c>
    </row>
    <row r="160" spans="2:21" x14ac:dyDescent="0.25">
      <c r="B160" s="5">
        <v>54</v>
      </c>
      <c r="C160" s="29">
        <v>4669</v>
      </c>
      <c r="D160" s="29">
        <v>675</v>
      </c>
      <c r="E160" s="29">
        <v>3462</v>
      </c>
      <c r="F160" s="29">
        <v>481</v>
      </c>
      <c r="G160" s="29">
        <v>104505205637.09332</v>
      </c>
      <c r="H160" s="29">
        <v>99380753160.759995</v>
      </c>
      <c r="I160" s="29">
        <v>12871169600</v>
      </c>
      <c r="J160" s="29">
        <v>65575698003</v>
      </c>
      <c r="K160" s="29">
        <v>17826175122</v>
      </c>
      <c r="L160" s="29">
        <v>128883600</v>
      </c>
      <c r="M160" s="29">
        <v>86230433502</v>
      </c>
      <c r="N160" s="29">
        <v>18621741996</v>
      </c>
      <c r="O160" s="29">
        <v>8517160850</v>
      </c>
      <c r="P160" s="29">
        <v>2644369265.5299997</v>
      </c>
      <c r="Q160" s="29">
        <v>1334186801.0133328</v>
      </c>
      <c r="R160" s="29">
        <v>3618257105</v>
      </c>
      <c r="S160" s="29">
        <v>3582380359</v>
      </c>
      <c r="T160" s="29">
        <f t="shared" si="4"/>
        <v>35876746</v>
      </c>
      <c r="U160" s="99">
        <v>42521</v>
      </c>
    </row>
    <row r="161" spans="2:21" x14ac:dyDescent="0.25">
      <c r="B161" s="5">
        <v>59</v>
      </c>
      <c r="C161" s="29">
        <f>5494+45</f>
        <v>5539</v>
      </c>
      <c r="D161" s="29">
        <v>0</v>
      </c>
      <c r="E161" s="29">
        <f>5585+30</f>
        <v>5615</v>
      </c>
      <c r="F161" s="29">
        <v>0</v>
      </c>
      <c r="G161" s="29">
        <v>158580475874</v>
      </c>
      <c r="H161" s="29">
        <v>147877287529</v>
      </c>
      <c r="I161" s="29">
        <v>18641414400</v>
      </c>
      <c r="J161" s="29">
        <v>74101678750</v>
      </c>
      <c r="K161" s="29">
        <v>53280101227</v>
      </c>
      <c r="L161" s="29">
        <v>0</v>
      </c>
      <c r="M161" s="29">
        <v>111184579147</v>
      </c>
      <c r="N161" s="29">
        <v>17145092060</v>
      </c>
      <c r="O161" s="29">
        <v>11552808500</v>
      </c>
      <c r="P161" s="29">
        <v>5230312949</v>
      </c>
      <c r="Q161" s="29">
        <v>395893834</v>
      </c>
      <c r="R161" s="29">
        <v>8191257614</v>
      </c>
      <c r="S161" s="29">
        <v>7922472383</v>
      </c>
      <c r="T161" s="29">
        <f t="shared" si="4"/>
        <v>268785231</v>
      </c>
      <c r="U161" s="99">
        <v>42521</v>
      </c>
    </row>
    <row r="162" spans="2:21" x14ac:dyDescent="0.25">
      <c r="B162" s="5">
        <v>69</v>
      </c>
      <c r="C162" s="29">
        <v>2836</v>
      </c>
      <c r="D162" s="29">
        <v>0</v>
      </c>
      <c r="E162" s="29">
        <v>2602</v>
      </c>
      <c r="F162" s="29">
        <v>0</v>
      </c>
      <c r="G162" s="29">
        <v>46881505380</v>
      </c>
      <c r="H162" s="29">
        <v>43681646480</v>
      </c>
      <c r="I162" s="29">
        <v>4016850050</v>
      </c>
      <c r="J162" s="29">
        <v>25655658383</v>
      </c>
      <c r="K162" s="29">
        <v>12172862532</v>
      </c>
      <c r="L162" s="29">
        <v>1175000000</v>
      </c>
      <c r="M162" s="29">
        <v>33188870690</v>
      </c>
      <c r="N162" s="29">
        <v>4640407300</v>
      </c>
      <c r="O162" s="29">
        <v>1293478700</v>
      </c>
      <c r="P162" s="29">
        <v>1270971353</v>
      </c>
      <c r="Q162" s="29">
        <v>381567784</v>
      </c>
      <c r="R162" s="29">
        <v>2328493264</v>
      </c>
      <c r="S162" s="29">
        <v>2320422423</v>
      </c>
      <c r="T162" s="29">
        <f t="shared" si="4"/>
        <v>8070841</v>
      </c>
      <c r="U162" s="99">
        <v>42521</v>
      </c>
    </row>
    <row r="163" spans="2:21" x14ac:dyDescent="0.25">
      <c r="B163" s="5">
        <v>76</v>
      </c>
      <c r="C163" s="29">
        <v>1196</v>
      </c>
      <c r="D163" s="29"/>
      <c r="E163" s="29">
        <v>985</v>
      </c>
      <c r="F163" s="29"/>
      <c r="G163" s="29">
        <v>39380571174</v>
      </c>
      <c r="H163" s="29">
        <v>36985689360</v>
      </c>
      <c r="I163" s="29">
        <v>2914350000</v>
      </c>
      <c r="J163" s="29">
        <v>20708221900</v>
      </c>
      <c r="K163" s="29">
        <v>13476698264</v>
      </c>
      <c r="L163" s="29">
        <v>0</v>
      </c>
      <c r="M163" s="29">
        <v>28270449700</v>
      </c>
      <c r="N163" s="84">
        <v>60818829</v>
      </c>
      <c r="O163" s="84">
        <v>28877078</v>
      </c>
      <c r="P163" s="100">
        <v>0</v>
      </c>
      <c r="Q163" s="29">
        <v>703910028</v>
      </c>
      <c r="R163" s="29">
        <v>1884540771</v>
      </c>
      <c r="S163" s="29">
        <v>1687281724</v>
      </c>
      <c r="T163" s="29">
        <f t="shared" si="4"/>
        <v>197259047</v>
      </c>
      <c r="U163" s="99">
        <v>42521</v>
      </c>
    </row>
    <row r="164" spans="2:21" x14ac:dyDescent="0.25">
      <c r="B164" s="5">
        <v>79</v>
      </c>
      <c r="C164" s="29">
        <v>282</v>
      </c>
      <c r="D164" s="29">
        <v>25</v>
      </c>
      <c r="E164" s="29">
        <v>256</v>
      </c>
      <c r="F164" s="29">
        <v>39</v>
      </c>
      <c r="G164" s="29">
        <v>10890908815</v>
      </c>
      <c r="H164" s="29">
        <v>10847749415</v>
      </c>
      <c r="I164" s="29">
        <v>947891000</v>
      </c>
      <c r="J164" s="29">
        <v>6923292950</v>
      </c>
      <c r="K164" s="29">
        <v>1948146750</v>
      </c>
      <c r="L164" s="29">
        <v>0</v>
      </c>
      <c r="M164" s="29">
        <v>5447484200</v>
      </c>
      <c r="N164" s="84">
        <v>169648000</v>
      </c>
      <c r="O164" s="84">
        <v>459514100</v>
      </c>
      <c r="P164" s="29">
        <v>481647593</v>
      </c>
      <c r="Q164" s="29">
        <v>184760750</v>
      </c>
      <c r="R164" s="29">
        <v>575164414</v>
      </c>
      <c r="S164" s="29">
        <v>453602042</v>
      </c>
      <c r="T164" s="29">
        <f t="shared" si="4"/>
        <v>121562372</v>
      </c>
      <c r="U164" s="99">
        <v>42521</v>
      </c>
    </row>
    <row r="165" spans="2:21" x14ac:dyDescent="0.25">
      <c r="B165" s="5">
        <v>80</v>
      </c>
      <c r="C165" s="29">
        <v>247</v>
      </c>
      <c r="D165" s="29">
        <v>0</v>
      </c>
      <c r="E165" s="29">
        <v>145</v>
      </c>
      <c r="F165" s="29">
        <v>0</v>
      </c>
      <c r="G165" s="29">
        <v>1517394690.5499997</v>
      </c>
      <c r="H165" s="29">
        <v>1330382730.5599999</v>
      </c>
      <c r="I165" s="29">
        <v>183795148.90000001</v>
      </c>
      <c r="J165" s="29">
        <v>285238900.39999998</v>
      </c>
      <c r="K165" s="29">
        <v>460777257.29999995</v>
      </c>
      <c r="L165" s="29">
        <v>0</v>
      </c>
      <c r="M165" s="29">
        <v>657107553.83999991</v>
      </c>
      <c r="N165" s="84">
        <v>70256378.099999994</v>
      </c>
      <c r="O165" s="84">
        <v>4208638.43</v>
      </c>
      <c r="P165" s="29">
        <v>228112795</v>
      </c>
      <c r="Q165" s="29">
        <v>4265540</v>
      </c>
      <c r="R165" s="29">
        <v>90819809.450000003</v>
      </c>
      <c r="S165" s="29">
        <v>119111330.5</v>
      </c>
      <c r="T165" s="29">
        <f t="shared" si="4"/>
        <v>-28291521.049999997</v>
      </c>
      <c r="U165" s="99">
        <v>42521</v>
      </c>
    </row>
    <row r="166" spans="2:21" x14ac:dyDescent="0.25">
      <c r="B166" s="5">
        <v>83</v>
      </c>
      <c r="C166" s="29">
        <v>899</v>
      </c>
      <c r="D166" s="29">
        <v>0</v>
      </c>
      <c r="E166" s="29">
        <v>1145</v>
      </c>
      <c r="F166" s="29">
        <v>0</v>
      </c>
      <c r="G166" s="29">
        <v>7163441947</v>
      </c>
      <c r="H166" s="29">
        <v>6000299875</v>
      </c>
      <c r="I166" s="29">
        <v>1322490000</v>
      </c>
      <c r="J166" s="29">
        <v>5057881736</v>
      </c>
      <c r="K166" s="29">
        <v>277979398</v>
      </c>
      <c r="L166" s="29">
        <v>0</v>
      </c>
      <c r="M166" s="29">
        <v>4654984000</v>
      </c>
      <c r="N166" s="84">
        <v>840617800</v>
      </c>
      <c r="O166" s="84">
        <v>140479500</v>
      </c>
      <c r="P166" s="29">
        <v>125551111</v>
      </c>
      <c r="Q166" s="29">
        <v>48975893</v>
      </c>
      <c r="R166" s="29">
        <v>388840466</v>
      </c>
      <c r="S166" s="29">
        <v>403638915</v>
      </c>
      <c r="T166" s="29">
        <f t="shared" si="4"/>
        <v>-14798449</v>
      </c>
      <c r="U166" s="99">
        <v>42521</v>
      </c>
    </row>
    <row r="167" spans="2:21" x14ac:dyDescent="0.25">
      <c r="B167" s="5">
        <v>84</v>
      </c>
      <c r="C167" s="29">
        <v>443</v>
      </c>
      <c r="D167" s="29">
        <v>0</v>
      </c>
      <c r="E167" s="29">
        <v>572</v>
      </c>
      <c r="F167" s="29">
        <v>0</v>
      </c>
      <c r="G167" s="29">
        <v>6517649000</v>
      </c>
      <c r="H167" s="29">
        <f>31359300+26226005+62260697+127113949+74621366+500000000+35880250+101953800+100791000+106119400+2462956800+1593882700+140000000+31850000</f>
        <v>5395015267</v>
      </c>
      <c r="I167" s="29">
        <f>215020000+321147952</f>
        <v>536167952</v>
      </c>
      <c r="J167" s="29">
        <v>4449094844</v>
      </c>
      <c r="K167" s="29">
        <f>840899845+22567100+14042000</f>
        <v>877508945</v>
      </c>
      <c r="L167" s="29">
        <v>370000000</v>
      </c>
      <c r="M167" s="29">
        <f>101740500+2765307100+1760750200</f>
        <v>4627797800</v>
      </c>
      <c r="N167" s="84">
        <v>315252000</v>
      </c>
      <c r="O167" s="84">
        <v>34534400</v>
      </c>
      <c r="P167" s="29">
        <v>138442275</v>
      </c>
      <c r="Q167" s="29">
        <v>42890627</v>
      </c>
      <c r="R167" s="29">
        <v>423265816</v>
      </c>
      <c r="S167" s="29">
        <v>421343185</v>
      </c>
      <c r="T167" s="29">
        <f t="shared" si="4"/>
        <v>1922631</v>
      </c>
      <c r="U167" s="99">
        <v>42521</v>
      </c>
    </row>
    <row r="168" spans="2:21" x14ac:dyDescent="0.25">
      <c r="B168" s="5">
        <v>39</v>
      </c>
      <c r="C168" s="29">
        <v>23376</v>
      </c>
      <c r="D168" s="29">
        <v>1350</v>
      </c>
      <c r="E168" s="29">
        <v>20394</v>
      </c>
      <c r="F168" s="29">
        <v>1379</v>
      </c>
      <c r="G168" s="29">
        <v>903811615315</v>
      </c>
      <c r="H168" s="29">
        <v>828814885109</v>
      </c>
      <c r="I168" s="29">
        <v>82585952903</v>
      </c>
      <c r="J168" s="29">
        <v>602715520927</v>
      </c>
      <c r="K168" s="29">
        <v>169600351707</v>
      </c>
      <c r="L168" s="29"/>
      <c r="M168" s="29">
        <v>711016194110</v>
      </c>
      <c r="N168" s="29">
        <v>33053683400</v>
      </c>
      <c r="O168" s="29">
        <v>106361072422</v>
      </c>
      <c r="P168" s="29">
        <v>17902165587</v>
      </c>
      <c r="Q168" s="29">
        <v>4945420737</v>
      </c>
      <c r="R168" s="29">
        <v>32885372190</v>
      </c>
      <c r="S168" s="29">
        <v>34558829284</v>
      </c>
      <c r="T168" s="29">
        <f t="shared" si="4"/>
        <v>-1673457094</v>
      </c>
      <c r="U168" s="99">
        <v>42521</v>
      </c>
    </row>
    <row r="169" spans="2:21" x14ac:dyDescent="0.25">
      <c r="B169" s="5">
        <v>44</v>
      </c>
      <c r="C169" s="29">
        <v>3894</v>
      </c>
      <c r="D169" s="29" t="s">
        <v>21</v>
      </c>
      <c r="E169" s="29">
        <v>3998</v>
      </c>
      <c r="F169" s="29"/>
      <c r="G169" s="29">
        <v>161297141408</v>
      </c>
      <c r="H169" s="29">
        <v>154583480769</v>
      </c>
      <c r="I169" s="29">
        <v>12265096000</v>
      </c>
      <c r="J169" s="29">
        <v>87580457670</v>
      </c>
      <c r="K169" s="29">
        <v>42045697859</v>
      </c>
      <c r="L169" s="29"/>
      <c r="M169" s="29">
        <v>126486875845</v>
      </c>
      <c r="N169" s="29">
        <v>30765311075</v>
      </c>
      <c r="O169" s="29">
        <v>8127071100</v>
      </c>
      <c r="P169" s="29">
        <v>5275014748</v>
      </c>
      <c r="Q169" s="29">
        <v>1814613957</v>
      </c>
      <c r="R169" s="29">
        <v>6342363008</v>
      </c>
      <c r="S169" s="29">
        <v>7175441203</v>
      </c>
      <c r="T169" s="29">
        <f t="shared" si="4"/>
        <v>-833078195</v>
      </c>
      <c r="U169" s="99">
        <v>42521</v>
      </c>
    </row>
    <row r="170" spans="2:21" x14ac:dyDescent="0.25">
      <c r="B170" s="5">
        <v>45</v>
      </c>
      <c r="C170" s="29">
        <v>17841</v>
      </c>
      <c r="D170" s="29">
        <v>0</v>
      </c>
      <c r="E170" s="29">
        <v>21042</v>
      </c>
      <c r="F170" s="29">
        <v>0</v>
      </c>
      <c r="G170" s="29">
        <v>731847954705</v>
      </c>
      <c r="H170" s="29">
        <v>714841663294</v>
      </c>
      <c r="I170" s="29">
        <v>57812198925</v>
      </c>
      <c r="J170" s="29">
        <v>493876583299.70001</v>
      </c>
      <c r="K170" s="29">
        <v>109102390047.99994</v>
      </c>
      <c r="L170" s="29">
        <v>0</v>
      </c>
      <c r="M170" s="29">
        <v>505224212645</v>
      </c>
      <c r="N170" s="29">
        <v>53170676050</v>
      </c>
      <c r="O170" s="29">
        <v>8752387325</v>
      </c>
      <c r="P170" s="29">
        <v>22913815640</v>
      </c>
      <c r="Q170" s="29">
        <v>30017986644</v>
      </c>
      <c r="R170" s="29">
        <v>32269962478.75</v>
      </c>
      <c r="S170" s="29">
        <v>32425876937.75</v>
      </c>
      <c r="T170" s="29">
        <f t="shared" si="4"/>
        <v>-155914459</v>
      </c>
      <c r="U170" s="99">
        <v>42521</v>
      </c>
    </row>
    <row r="171" spans="2:21" x14ac:dyDescent="0.25">
      <c r="B171" s="5">
        <v>48</v>
      </c>
      <c r="C171" s="29">
        <v>7447</v>
      </c>
      <c r="D171" s="29">
        <v>617</v>
      </c>
      <c r="E171" s="29">
        <v>5479</v>
      </c>
      <c r="F171" s="29">
        <v>561</v>
      </c>
      <c r="G171" s="29">
        <v>256829218515</v>
      </c>
      <c r="H171" s="29">
        <v>247680928658</v>
      </c>
      <c r="I171" s="29">
        <v>19770311250</v>
      </c>
      <c r="J171" s="29">
        <v>181054422487</v>
      </c>
      <c r="K171" s="29">
        <v>31993457360</v>
      </c>
      <c r="L171" s="29"/>
      <c r="M171" s="29">
        <v>155762180331</v>
      </c>
      <c r="N171" s="29">
        <v>21543471750</v>
      </c>
      <c r="O171" s="29">
        <v>13642695730</v>
      </c>
      <c r="P171" s="29">
        <v>8358220002</v>
      </c>
      <c r="Q171" s="29">
        <v>6621175135</v>
      </c>
      <c r="R171" s="29">
        <v>11474701716</v>
      </c>
      <c r="S171" s="29">
        <v>12150041128</v>
      </c>
      <c r="T171" s="29">
        <f t="shared" si="4"/>
        <v>-675339412</v>
      </c>
      <c r="U171" s="99">
        <v>42521</v>
      </c>
    </row>
    <row r="172" spans="2:21" x14ac:dyDescent="0.25">
      <c r="B172" s="5">
        <v>58</v>
      </c>
      <c r="C172" s="29">
        <v>205</v>
      </c>
      <c r="D172" s="29">
        <v>3239</v>
      </c>
      <c r="E172" s="29">
        <v>224</v>
      </c>
      <c r="F172" s="29">
        <v>2843</v>
      </c>
      <c r="G172" s="29">
        <v>122876629869</v>
      </c>
      <c r="H172" s="29">
        <v>82298055243</v>
      </c>
      <c r="I172" s="29">
        <v>12431065199</v>
      </c>
      <c r="J172" s="29">
        <v>77013376599</v>
      </c>
      <c r="K172" s="29">
        <v>26535924470</v>
      </c>
      <c r="L172" s="29">
        <v>1799960000</v>
      </c>
      <c r="M172" s="29">
        <v>73645841963</v>
      </c>
      <c r="N172" s="29">
        <v>7174068758</v>
      </c>
      <c r="O172" s="29">
        <v>3469917214</v>
      </c>
      <c r="P172" s="29">
        <v>779759525</v>
      </c>
      <c r="Q172" s="29">
        <v>957593833</v>
      </c>
      <c r="R172" s="29">
        <v>2688473252</v>
      </c>
      <c r="S172" s="29">
        <v>4662480721</v>
      </c>
      <c r="T172" s="29">
        <f t="shared" si="4"/>
        <v>-1974007469</v>
      </c>
      <c r="U172" s="99">
        <v>42521</v>
      </c>
    </row>
    <row r="173" spans="2:21" x14ac:dyDescent="0.25">
      <c r="B173" s="5">
        <v>60</v>
      </c>
      <c r="C173" s="29">
        <v>1513</v>
      </c>
      <c r="D173" s="29">
        <v>109</v>
      </c>
      <c r="E173" s="29">
        <v>2042</v>
      </c>
      <c r="F173" s="29">
        <v>94</v>
      </c>
      <c r="G173" s="29">
        <v>34580176531</v>
      </c>
      <c r="H173" s="29">
        <v>32336892450</v>
      </c>
      <c r="I173" s="29">
        <v>5042630000</v>
      </c>
      <c r="J173" s="29">
        <v>17880578500</v>
      </c>
      <c r="K173" s="29">
        <v>6826173500</v>
      </c>
      <c r="L173" s="29"/>
      <c r="M173" s="29">
        <v>23657749000</v>
      </c>
      <c r="N173" s="29">
        <v>4482222000</v>
      </c>
      <c r="O173" s="29">
        <v>7593061000</v>
      </c>
      <c r="P173" s="29">
        <v>2522300413</v>
      </c>
      <c r="Q173" s="29">
        <v>352939449</v>
      </c>
      <c r="R173" s="29">
        <v>1050718874</v>
      </c>
      <c r="S173" s="29">
        <v>1108769133</v>
      </c>
      <c r="T173" s="29">
        <f t="shared" ref="T173:T236" si="5">R173-S173</f>
        <v>-58050259</v>
      </c>
      <c r="U173" s="99">
        <v>42521</v>
      </c>
    </row>
    <row r="174" spans="2:21" x14ac:dyDescent="0.25">
      <c r="B174" s="5">
        <v>61</v>
      </c>
      <c r="C174" s="29">
        <v>1389</v>
      </c>
      <c r="D174" s="29">
        <v>132</v>
      </c>
      <c r="E174" s="29">
        <v>1528</v>
      </c>
      <c r="F174" s="29">
        <v>123</v>
      </c>
      <c r="G174" s="29">
        <v>42858463393</v>
      </c>
      <c r="H174" s="29">
        <v>39624821493</v>
      </c>
      <c r="I174" s="29">
        <v>4759665000</v>
      </c>
      <c r="J174" s="29">
        <v>25417051450</v>
      </c>
      <c r="K174" s="29">
        <v>5248876400</v>
      </c>
      <c r="L174" s="29">
        <v>70000000</v>
      </c>
      <c r="M174" s="29">
        <v>31356350300</v>
      </c>
      <c r="N174" s="29">
        <v>2446007750</v>
      </c>
      <c r="O174" s="29">
        <v>3452347750</v>
      </c>
      <c r="P174" s="29">
        <v>356814583</v>
      </c>
      <c r="Q174" s="29">
        <v>1813973477</v>
      </c>
      <c r="R174" s="29">
        <v>2009825271</v>
      </c>
      <c r="S174" s="29">
        <v>1958384900</v>
      </c>
      <c r="T174" s="29">
        <f t="shared" si="5"/>
        <v>51440371</v>
      </c>
      <c r="U174" s="99">
        <v>42155</v>
      </c>
    </row>
    <row r="175" spans="2:21" x14ac:dyDescent="0.25">
      <c r="B175" s="5">
        <v>62</v>
      </c>
      <c r="C175" s="29">
        <v>10607</v>
      </c>
      <c r="D175" s="29">
        <v>1678</v>
      </c>
      <c r="E175" s="29">
        <v>17215</v>
      </c>
      <c r="F175" s="29">
        <v>1694</v>
      </c>
      <c r="G175" s="29">
        <v>369068783948</v>
      </c>
      <c r="H175" s="29">
        <v>338916611338</v>
      </c>
      <c r="I175" s="29">
        <v>50520648150</v>
      </c>
      <c r="J175" s="29">
        <v>204337358900</v>
      </c>
      <c r="K175" s="29">
        <v>68264625265</v>
      </c>
      <c r="L175" s="29">
        <v>300000000</v>
      </c>
      <c r="M175" s="29">
        <v>222662316000</v>
      </c>
      <c r="N175" s="29">
        <v>15957681650</v>
      </c>
      <c r="O175" s="29">
        <v>1860016400</v>
      </c>
      <c r="P175" s="29">
        <v>19322757145</v>
      </c>
      <c r="Q175" s="29">
        <v>3437859098</v>
      </c>
      <c r="R175" s="101">
        <v>18738561959</v>
      </c>
      <c r="S175" s="29">
        <v>18674632475</v>
      </c>
      <c r="T175" s="29">
        <f t="shared" si="5"/>
        <v>63929484</v>
      </c>
      <c r="U175" s="99">
        <v>42521</v>
      </c>
    </row>
    <row r="176" spans="2:21" x14ac:dyDescent="0.25">
      <c r="B176" s="5">
        <v>65</v>
      </c>
      <c r="C176" s="29">
        <v>1657</v>
      </c>
      <c r="D176" s="29">
        <v>60</v>
      </c>
      <c r="E176" s="29">
        <v>1429</v>
      </c>
      <c r="F176" s="29">
        <v>51</v>
      </c>
      <c r="G176" s="29">
        <v>59109655842</v>
      </c>
      <c r="H176" s="29">
        <v>57862635972</v>
      </c>
      <c r="I176" s="29">
        <v>4416015000</v>
      </c>
      <c r="J176" s="29">
        <v>37681205600</v>
      </c>
      <c r="K176" s="29">
        <v>12605725600</v>
      </c>
      <c r="L176" s="29"/>
      <c r="M176" s="29">
        <v>40162189800</v>
      </c>
      <c r="N176" s="29">
        <v>3815160300</v>
      </c>
      <c r="O176" s="29">
        <v>2872905700</v>
      </c>
      <c r="P176" s="29">
        <v>1654903492</v>
      </c>
      <c r="Q176" s="29">
        <v>298563582</v>
      </c>
      <c r="R176" s="29">
        <v>2261220698</v>
      </c>
      <c r="S176" s="29">
        <v>2270235160</v>
      </c>
      <c r="T176" s="29">
        <f t="shared" si="5"/>
        <v>-9014462</v>
      </c>
      <c r="U176" s="99">
        <v>42521</v>
      </c>
    </row>
    <row r="177" spans="2:21" x14ac:dyDescent="0.25">
      <c r="B177" s="5">
        <v>68</v>
      </c>
      <c r="C177" s="29">
        <v>977</v>
      </c>
      <c r="D177" s="29"/>
      <c r="E177" s="29">
        <v>1463</v>
      </c>
      <c r="F177" s="29"/>
      <c r="G177" s="29">
        <v>24870589630</v>
      </c>
      <c r="H177" s="29">
        <v>21374351892</v>
      </c>
      <c r="I177" s="29">
        <v>2440279900</v>
      </c>
      <c r="J177" s="29">
        <v>11073707017</v>
      </c>
      <c r="K177" s="29">
        <v>6653397516</v>
      </c>
      <c r="L177" s="29">
        <v>1733332800</v>
      </c>
      <c r="M177" s="100">
        <v>15431722630</v>
      </c>
      <c r="N177" s="29">
        <v>1290775680</v>
      </c>
      <c r="O177" s="29">
        <v>351544100</v>
      </c>
      <c r="P177" s="29">
        <v>878665422</v>
      </c>
      <c r="Q177" s="29">
        <v>343123862</v>
      </c>
      <c r="R177" s="29">
        <v>1545380882</v>
      </c>
      <c r="S177" s="29">
        <v>1484515319</v>
      </c>
      <c r="T177" s="29">
        <f t="shared" si="5"/>
        <v>60865563</v>
      </c>
      <c r="U177" s="99">
        <v>42521</v>
      </c>
    </row>
    <row r="178" spans="2:21" x14ac:dyDescent="0.25">
      <c r="B178" s="5">
        <v>72</v>
      </c>
      <c r="C178" s="29">
        <v>600</v>
      </c>
      <c r="D178" s="29">
        <v>119</v>
      </c>
      <c r="E178" s="29">
        <v>781</v>
      </c>
      <c r="F178" s="29">
        <v>89</v>
      </c>
      <c r="G178" s="29">
        <v>14323739632</v>
      </c>
      <c r="H178" s="29">
        <v>13618562969</v>
      </c>
      <c r="I178" s="29">
        <v>2255175000</v>
      </c>
      <c r="J178" s="29">
        <v>8529943100</v>
      </c>
      <c r="K178" s="29">
        <v>1840156700</v>
      </c>
      <c r="L178" s="29"/>
      <c r="M178" s="29">
        <v>9625683200</v>
      </c>
      <c r="N178" s="29">
        <v>1807102450</v>
      </c>
      <c r="O178" s="29">
        <v>130349100</v>
      </c>
      <c r="P178" s="29">
        <v>543850100</v>
      </c>
      <c r="Q178" s="29">
        <v>160300737</v>
      </c>
      <c r="R178" s="29">
        <v>818889534</v>
      </c>
      <c r="S178" s="29">
        <v>835787848</v>
      </c>
      <c r="T178" s="29">
        <f t="shared" si="5"/>
        <v>-16898314</v>
      </c>
      <c r="U178" s="99">
        <v>42521</v>
      </c>
    </row>
    <row r="179" spans="2:21" x14ac:dyDescent="0.25">
      <c r="B179" s="5">
        <v>74</v>
      </c>
      <c r="C179" s="29">
        <v>505</v>
      </c>
      <c r="D179" s="29">
        <v>107</v>
      </c>
      <c r="E179" s="29">
        <v>578</v>
      </c>
      <c r="F179" s="29">
        <v>98</v>
      </c>
      <c r="G179" s="29">
        <v>40025887604</v>
      </c>
      <c r="H179" s="29">
        <v>38399912192</v>
      </c>
      <c r="I179" s="29">
        <v>4139185000</v>
      </c>
      <c r="J179" s="29">
        <v>21328184206</v>
      </c>
      <c r="K179" s="29">
        <v>10344867036</v>
      </c>
      <c r="L179" s="29">
        <v>799999900</v>
      </c>
      <c r="M179" s="29">
        <v>32644848000</v>
      </c>
      <c r="N179" s="29">
        <v>4541247000</v>
      </c>
      <c r="O179" s="29">
        <v>154872000</v>
      </c>
      <c r="P179" s="29">
        <v>1510195143</v>
      </c>
      <c r="Q179" s="29">
        <v>764814391</v>
      </c>
      <c r="R179" s="29">
        <v>2809735442</v>
      </c>
      <c r="S179" s="29">
        <v>2788467446</v>
      </c>
      <c r="T179" s="29">
        <f t="shared" si="5"/>
        <v>21267996</v>
      </c>
      <c r="U179" s="99">
        <v>42521</v>
      </c>
    </row>
    <row r="180" spans="2:21" x14ac:dyDescent="0.25">
      <c r="B180" s="5">
        <v>75</v>
      </c>
      <c r="C180" s="29">
        <v>1037</v>
      </c>
      <c r="D180" s="29">
        <v>11</v>
      </c>
      <c r="E180" s="29">
        <v>1069</v>
      </c>
      <c r="F180" s="29">
        <v>8</v>
      </c>
      <c r="G180" s="29">
        <v>35060358051</v>
      </c>
      <c r="H180" s="29">
        <v>4623573061</v>
      </c>
      <c r="I180" s="29">
        <v>2976235000</v>
      </c>
      <c r="J180" s="29">
        <v>22602856650</v>
      </c>
      <c r="K180" s="29">
        <v>4335478700</v>
      </c>
      <c r="L180" s="29"/>
      <c r="M180" s="29">
        <v>20551255250</v>
      </c>
      <c r="N180" s="29">
        <v>2350854000</v>
      </c>
      <c r="O180" s="29">
        <v>1004980150</v>
      </c>
      <c r="P180" s="29">
        <v>2950295683</v>
      </c>
      <c r="Q180" s="29">
        <v>37245750</v>
      </c>
      <c r="R180" s="29">
        <v>2330284787</v>
      </c>
      <c r="S180" s="29">
        <v>2213272619</v>
      </c>
      <c r="T180" s="29">
        <f t="shared" si="5"/>
        <v>117012168</v>
      </c>
      <c r="U180" s="99">
        <v>42521</v>
      </c>
    </row>
    <row r="181" spans="2:21" x14ac:dyDescent="0.25">
      <c r="B181" s="5">
        <v>81</v>
      </c>
      <c r="C181" s="29">
        <v>363</v>
      </c>
      <c r="D181" s="29">
        <v>5</v>
      </c>
      <c r="E181" s="29">
        <v>328</v>
      </c>
      <c r="F181" s="29">
        <v>6</v>
      </c>
      <c r="G181" s="29">
        <v>8246632674</v>
      </c>
      <c r="H181" s="29">
        <v>7924929924</v>
      </c>
      <c r="I181" s="29">
        <v>934380000</v>
      </c>
      <c r="J181" s="29">
        <v>5665298900</v>
      </c>
      <c r="K181" s="29">
        <v>865640150</v>
      </c>
      <c r="L181" s="29"/>
      <c r="M181" s="29">
        <v>4833855300</v>
      </c>
      <c r="N181" s="29">
        <v>1139649500</v>
      </c>
      <c r="O181" s="29">
        <v>23777200</v>
      </c>
      <c r="P181" s="29">
        <v>286676308</v>
      </c>
      <c r="Q181" s="29">
        <v>58754437</v>
      </c>
      <c r="R181" s="29">
        <v>486832825</v>
      </c>
      <c r="S181" s="29">
        <v>484956996</v>
      </c>
      <c r="T181" s="29">
        <f t="shared" si="5"/>
        <v>1875829</v>
      </c>
      <c r="U181" s="99">
        <v>42521</v>
      </c>
    </row>
    <row r="182" spans="2:21" x14ac:dyDescent="0.25">
      <c r="B182" s="5">
        <v>82</v>
      </c>
      <c r="C182" s="29">
        <v>479</v>
      </c>
      <c r="D182" s="29"/>
      <c r="E182" s="29">
        <v>572</v>
      </c>
      <c r="F182" s="29"/>
      <c r="G182" s="29">
        <v>3377912075</v>
      </c>
      <c r="H182" s="29">
        <v>2771692491</v>
      </c>
      <c r="I182" s="29">
        <v>303068150</v>
      </c>
      <c r="J182" s="29">
        <v>1297784500</v>
      </c>
      <c r="K182" s="29">
        <v>1135529235</v>
      </c>
      <c r="L182" s="29">
        <v>178332900</v>
      </c>
      <c r="M182" s="29">
        <v>2349703700</v>
      </c>
      <c r="N182" s="84">
        <v>130451500</v>
      </c>
      <c r="O182" s="84"/>
      <c r="P182" s="29">
        <v>94146842</v>
      </c>
      <c r="Q182" s="29">
        <v>117694366</v>
      </c>
      <c r="R182" s="29">
        <v>136076052</v>
      </c>
      <c r="S182" s="29">
        <v>126225658</v>
      </c>
      <c r="T182" s="29">
        <f t="shared" si="5"/>
        <v>9850394</v>
      </c>
      <c r="U182" s="99">
        <v>42521</v>
      </c>
    </row>
    <row r="183" spans="2:21" x14ac:dyDescent="0.25">
      <c r="B183" s="5">
        <v>1</v>
      </c>
      <c r="C183" s="29">
        <v>27484</v>
      </c>
      <c r="D183" s="29">
        <v>0</v>
      </c>
      <c r="E183" s="29">
        <v>24117</v>
      </c>
      <c r="F183" s="29">
        <v>0</v>
      </c>
      <c r="G183" s="29">
        <v>540389258962</v>
      </c>
      <c r="H183" s="29">
        <v>491912254072</v>
      </c>
      <c r="I183" s="29">
        <v>90008960825</v>
      </c>
      <c r="J183" s="29">
        <v>326856913139</v>
      </c>
      <c r="K183" s="29">
        <f>410501313545-J183</f>
        <v>83644400406</v>
      </c>
      <c r="L183" s="29">
        <v>8593138000</v>
      </c>
      <c r="M183" s="29">
        <v>409642832161</v>
      </c>
      <c r="N183" s="84">
        <v>26889741750</v>
      </c>
      <c r="O183" s="84">
        <v>9248337800</v>
      </c>
      <c r="P183" s="29">
        <v>7258578260</v>
      </c>
      <c r="Q183" s="29">
        <v>510687218</v>
      </c>
      <c r="R183" s="29">
        <f>15452295168+87425938</f>
        <v>15539721106</v>
      </c>
      <c r="S183" s="29">
        <f>14908067880+523850</f>
        <v>14908591730</v>
      </c>
      <c r="T183" s="29">
        <f t="shared" si="5"/>
        <v>631129376</v>
      </c>
      <c r="U183" s="99">
        <v>42460</v>
      </c>
    </row>
    <row r="184" spans="2:21" x14ac:dyDescent="0.25">
      <c r="B184" s="5">
        <v>7</v>
      </c>
      <c r="C184" s="29">
        <v>3326</v>
      </c>
      <c r="D184" s="29">
        <v>603</v>
      </c>
      <c r="E184" s="29">
        <v>3578</v>
      </c>
      <c r="F184" s="29">
        <v>576</v>
      </c>
      <c r="G184" s="29">
        <v>88578662050</v>
      </c>
      <c r="H184" s="29">
        <v>82295577100</v>
      </c>
      <c r="I184" s="29">
        <f>3239741000+4959028300</f>
        <v>8198769300</v>
      </c>
      <c r="J184" s="29">
        <v>63562302950</v>
      </c>
      <c r="K184" s="29">
        <f>75512041000-J184</f>
        <v>11949738050</v>
      </c>
      <c r="L184" s="29">
        <v>0</v>
      </c>
      <c r="M184" s="29">
        <v>71964556550</v>
      </c>
      <c r="N184" s="84">
        <f>7025639775-O184</f>
        <v>3995286175</v>
      </c>
      <c r="O184" s="84">
        <v>3030353600</v>
      </c>
      <c r="P184" s="29">
        <v>1008167400</v>
      </c>
      <c r="Q184" s="29">
        <v>77107500</v>
      </c>
      <c r="R184" s="29">
        <f>2303615800+98921750</f>
        <v>2402537550</v>
      </c>
      <c r="S184" s="29">
        <v>2385999400</v>
      </c>
      <c r="T184" s="29">
        <f t="shared" si="5"/>
        <v>16538150</v>
      </c>
      <c r="U184" s="99">
        <v>42460</v>
      </c>
    </row>
    <row r="185" spans="2:21" x14ac:dyDescent="0.25">
      <c r="B185" s="5">
        <v>12</v>
      </c>
      <c r="C185" s="29">
        <v>6895</v>
      </c>
      <c r="D185" s="29">
        <v>0</v>
      </c>
      <c r="E185" s="29">
        <v>4918</v>
      </c>
      <c r="F185" s="29">
        <v>0</v>
      </c>
      <c r="G185" s="29">
        <v>79604366697</v>
      </c>
      <c r="H185" s="29">
        <v>71609562896</v>
      </c>
      <c r="I185" s="29">
        <v>12749734000</v>
      </c>
      <c r="J185" s="29">
        <f>49513699404</f>
        <v>49513699404</v>
      </c>
      <c r="K185" s="29">
        <f>56048558362-J185</f>
        <v>6534858958</v>
      </c>
      <c r="L185" s="29">
        <f>405750000+605750000</f>
        <v>1011500000</v>
      </c>
      <c r="M185" s="29">
        <v>62160855950</v>
      </c>
      <c r="N185" s="84">
        <f>11688712300+2658229350</f>
        <v>14346941650</v>
      </c>
      <c r="O185" s="84">
        <v>2942753400</v>
      </c>
      <c r="P185" s="29">
        <v>3085628901</v>
      </c>
      <c r="Q185" s="29">
        <v>3017174615</v>
      </c>
      <c r="R185" s="29">
        <f>1917799114+4914222</f>
        <v>1922713336</v>
      </c>
      <c r="S185" s="29">
        <v>2090872645</v>
      </c>
      <c r="T185" s="29">
        <f t="shared" si="5"/>
        <v>-168159309</v>
      </c>
      <c r="U185" s="99">
        <v>42460</v>
      </c>
    </row>
    <row r="186" spans="2:21" x14ac:dyDescent="0.25">
      <c r="B186" s="5">
        <v>14</v>
      </c>
      <c r="C186" s="29">
        <v>10396</v>
      </c>
      <c r="D186" s="29">
        <v>461</v>
      </c>
      <c r="E186" s="29">
        <v>6385</v>
      </c>
      <c r="F186" s="29">
        <v>447</v>
      </c>
      <c r="G186" s="29">
        <v>184861983363</v>
      </c>
      <c r="H186" s="29">
        <v>157752962444</v>
      </c>
      <c r="I186" s="29">
        <v>22315554250</v>
      </c>
      <c r="J186" s="29">
        <v>99474938273</v>
      </c>
      <c r="K186" s="29">
        <f>143353151427-J186</f>
        <v>43878213154</v>
      </c>
      <c r="L186" s="29">
        <v>500000000</v>
      </c>
      <c r="M186" s="29">
        <v>136026635400</v>
      </c>
      <c r="N186" s="84">
        <v>30788218200</v>
      </c>
      <c r="O186" s="84">
        <v>3449457600</v>
      </c>
      <c r="P186" s="29">
        <v>3190903778</v>
      </c>
      <c r="Q186" s="29">
        <v>7602140818</v>
      </c>
      <c r="R186" s="29">
        <f>4979381400+153518233</f>
        <v>5132899633</v>
      </c>
      <c r="S186" s="29">
        <v>5823813351</v>
      </c>
      <c r="T186" s="29">
        <f t="shared" si="5"/>
        <v>-690913718</v>
      </c>
      <c r="U186" s="99">
        <v>42460</v>
      </c>
    </row>
    <row r="187" spans="2:21" x14ac:dyDescent="0.25">
      <c r="B187" s="5">
        <v>26</v>
      </c>
      <c r="C187" s="29">
        <v>1652</v>
      </c>
      <c r="D187" s="29">
        <v>0</v>
      </c>
      <c r="E187" s="29">
        <v>821</v>
      </c>
      <c r="F187" s="29">
        <v>0</v>
      </c>
      <c r="G187" s="29">
        <v>18970882095</v>
      </c>
      <c r="H187" s="29">
        <f>298253567+5955342+5633600+17578159961+614400000+14351500+66470000</f>
        <v>18583223970</v>
      </c>
      <c r="I187" s="29">
        <v>2769018850</v>
      </c>
      <c r="J187" s="29">
        <v>11832707324</v>
      </c>
      <c r="K187" s="29">
        <v>810924955</v>
      </c>
      <c r="L187" s="29">
        <v>621250000</v>
      </c>
      <c r="M187" s="29">
        <v>17578159961</v>
      </c>
      <c r="N187" s="29">
        <v>1304038700</v>
      </c>
      <c r="O187" s="29">
        <v>3296768800</v>
      </c>
      <c r="P187" s="29">
        <v>592472316</v>
      </c>
      <c r="Q187" s="29">
        <v>333270210</v>
      </c>
      <c r="R187" s="29">
        <v>1221540915</v>
      </c>
      <c r="S187" s="29">
        <v>975210795</v>
      </c>
      <c r="T187" s="29">
        <f t="shared" si="5"/>
        <v>246330120</v>
      </c>
      <c r="U187" s="110">
        <v>42369</v>
      </c>
    </row>
    <row r="188" spans="2:21" x14ac:dyDescent="0.25">
      <c r="B188" s="5">
        <v>35</v>
      </c>
      <c r="C188" s="29">
        <v>216</v>
      </c>
      <c r="D188" s="29"/>
      <c r="E188" s="29">
        <v>261</v>
      </c>
      <c r="F188" s="29"/>
      <c r="G188" s="29">
        <v>9766060144</v>
      </c>
      <c r="H188" s="29">
        <v>9044583000</v>
      </c>
      <c r="I188" s="29">
        <v>870366950</v>
      </c>
      <c r="J188" s="29">
        <v>5275215625</v>
      </c>
      <c r="K188" s="29">
        <v>3126033147</v>
      </c>
      <c r="L188" s="29">
        <v>50000000</v>
      </c>
      <c r="M188" s="29">
        <v>9044583000</v>
      </c>
      <c r="N188" s="29">
        <v>0</v>
      </c>
      <c r="O188" s="29">
        <v>0</v>
      </c>
      <c r="P188" s="29">
        <v>44899357</v>
      </c>
      <c r="Q188" s="29">
        <v>112866322</v>
      </c>
      <c r="R188" s="29">
        <v>138142400</v>
      </c>
      <c r="S188" s="29">
        <v>116909869</v>
      </c>
      <c r="T188" s="29">
        <f t="shared" si="5"/>
        <v>21232531</v>
      </c>
      <c r="U188" s="110">
        <v>42429</v>
      </c>
    </row>
    <row r="189" spans="2:21" x14ac:dyDescent="0.25">
      <c r="B189" s="5">
        <v>40</v>
      </c>
      <c r="C189" s="29">
        <v>10838</v>
      </c>
      <c r="D189" s="29">
        <v>0</v>
      </c>
      <c r="E189" s="29">
        <v>10992</v>
      </c>
      <c r="F189" s="29">
        <v>0</v>
      </c>
      <c r="G189" s="29">
        <v>240622846794.67334</v>
      </c>
      <c r="H189" s="29">
        <v>204495605036.34</v>
      </c>
      <c r="I189" s="29">
        <v>37810150300</v>
      </c>
      <c r="J189" s="29">
        <v>138006109960</v>
      </c>
      <c r="K189" s="29">
        <v>46546574227.26001</v>
      </c>
      <c r="L189" s="29">
        <v>29161900</v>
      </c>
      <c r="M189" s="29">
        <v>171542109475</v>
      </c>
      <c r="N189" s="29">
        <v>31316269925</v>
      </c>
      <c r="O189" s="29">
        <v>36017227100</v>
      </c>
      <c r="P189" s="29">
        <v>2914620000</v>
      </c>
      <c r="Q189" s="29">
        <v>2914620000</v>
      </c>
      <c r="R189" s="29">
        <v>7050945584.8900003</v>
      </c>
      <c r="S189" s="29">
        <v>6405911395.8999996</v>
      </c>
      <c r="T189" s="29">
        <f t="shared" si="5"/>
        <v>645034188.99000072</v>
      </c>
      <c r="U189" s="99">
        <v>42460</v>
      </c>
    </row>
    <row r="190" spans="2:21" x14ac:dyDescent="0.25">
      <c r="B190" s="5">
        <v>46</v>
      </c>
      <c r="C190" s="29">
        <v>2090</v>
      </c>
      <c r="D190" s="29">
        <v>70</v>
      </c>
      <c r="E190" s="29">
        <v>1367</v>
      </c>
      <c r="F190" s="29">
        <v>37</v>
      </c>
      <c r="G190" s="29">
        <v>37877522079.129997</v>
      </c>
      <c r="H190" s="29">
        <v>32080786097.060001</v>
      </c>
      <c r="I190" s="29">
        <v>4258874673</v>
      </c>
      <c r="J190" s="29">
        <v>26100189724</v>
      </c>
      <c r="K190" s="29">
        <v>2826150218</v>
      </c>
      <c r="L190" s="29">
        <v>3441894000</v>
      </c>
      <c r="M190" s="29">
        <v>26895312800</v>
      </c>
      <c r="N190" s="29">
        <v>5168749500</v>
      </c>
      <c r="O190" s="29">
        <v>829165150</v>
      </c>
      <c r="P190" s="29">
        <v>817492933</v>
      </c>
      <c r="Q190" s="29">
        <v>276772867</v>
      </c>
      <c r="R190" s="29">
        <v>1106620660.04</v>
      </c>
      <c r="S190" s="29">
        <v>1178318672.9699998</v>
      </c>
      <c r="T190" s="29">
        <f t="shared" si="5"/>
        <v>-71698012.929999828</v>
      </c>
      <c r="U190" s="99">
        <v>42460</v>
      </c>
    </row>
    <row r="191" spans="2:21" x14ac:dyDescent="0.25">
      <c r="B191" s="5">
        <v>52</v>
      </c>
      <c r="C191" s="29">
        <v>2759</v>
      </c>
      <c r="D191" s="29">
        <v>160</v>
      </c>
      <c r="E191" s="29">
        <v>2685</v>
      </c>
      <c r="F191" s="29">
        <v>117</v>
      </c>
      <c r="G191" s="29">
        <v>42481576721</v>
      </c>
      <c r="H191" s="29">
        <v>31266377881</v>
      </c>
      <c r="I191" s="29">
        <v>6357714000</v>
      </c>
      <c r="J191" s="29">
        <v>19161528336</v>
      </c>
      <c r="K191" s="29">
        <v>2367521290</v>
      </c>
      <c r="L191" s="29">
        <v>4114877600</v>
      </c>
      <c r="M191" s="29">
        <v>30393836136</v>
      </c>
      <c r="N191" s="29">
        <v>11274927480</v>
      </c>
      <c r="O191" s="29">
        <v>8139350620</v>
      </c>
      <c r="P191" s="29">
        <v>869432925</v>
      </c>
      <c r="Q191" s="29">
        <v>1458378496</v>
      </c>
      <c r="R191" s="29">
        <v>3555178592</v>
      </c>
      <c r="S191" s="29">
        <v>3835445608</v>
      </c>
      <c r="T191" s="29">
        <f t="shared" si="5"/>
        <v>-280267016</v>
      </c>
      <c r="U191" s="110">
        <v>42369</v>
      </c>
    </row>
    <row r="192" spans="2:21" x14ac:dyDescent="0.25">
      <c r="B192" s="5">
        <v>53</v>
      </c>
      <c r="C192" s="29">
        <f>10924+232</f>
        <v>11156</v>
      </c>
      <c r="D192" s="29">
        <v>0</v>
      </c>
      <c r="E192" s="29">
        <f>9568+232</f>
        <v>9800</v>
      </c>
      <c r="F192" s="29">
        <v>0</v>
      </c>
      <c r="G192" s="29">
        <v>254330559297</v>
      </c>
      <c r="H192" s="29">
        <v>242048812323</v>
      </c>
      <c r="I192" s="29">
        <v>33756399800</v>
      </c>
      <c r="J192" s="29">
        <v>150882545575</v>
      </c>
      <c r="K192" s="29">
        <v>36537531422</v>
      </c>
      <c r="L192" s="29">
        <v>0</v>
      </c>
      <c r="M192" s="29">
        <v>172629083700</v>
      </c>
      <c r="N192" s="29">
        <v>25135009500</v>
      </c>
      <c r="O192" s="29">
        <v>10468508550</v>
      </c>
      <c r="P192" s="29">
        <v>11390821975</v>
      </c>
      <c r="Q192" s="29">
        <v>4099117876</v>
      </c>
      <c r="R192" s="29">
        <v>5758462330</v>
      </c>
      <c r="S192" s="29">
        <v>5538831707</v>
      </c>
      <c r="T192" s="29">
        <f t="shared" si="5"/>
        <v>219630623</v>
      </c>
      <c r="U192" s="99">
        <v>42460</v>
      </c>
    </row>
    <row r="193" spans="2:21" x14ac:dyDescent="0.25">
      <c r="B193" s="5">
        <v>54</v>
      </c>
      <c r="C193" s="29">
        <v>4679</v>
      </c>
      <c r="D193" s="29">
        <v>675</v>
      </c>
      <c r="E193" s="29">
        <v>3478</v>
      </c>
      <c r="F193" s="29">
        <v>479</v>
      </c>
      <c r="G193" s="29">
        <v>103902131139.09332</v>
      </c>
      <c r="H193" s="29">
        <v>99130359562.759995</v>
      </c>
      <c r="I193" s="29">
        <v>12851583900</v>
      </c>
      <c r="J193" s="29">
        <v>65400034253</v>
      </c>
      <c r="K193" s="29">
        <v>17509858422</v>
      </c>
      <c r="L193" s="29">
        <v>284439600</v>
      </c>
      <c r="M193" s="29">
        <v>85969234902</v>
      </c>
      <c r="N193" s="29">
        <v>20953990076</v>
      </c>
      <c r="O193" s="29">
        <v>8629569950</v>
      </c>
      <c r="P193" s="29">
        <v>2695414293.5299997</v>
      </c>
      <c r="Q193" s="29">
        <v>1324286099</v>
      </c>
      <c r="R193" s="29">
        <v>675510359</v>
      </c>
      <c r="S193" s="29">
        <v>839395418</v>
      </c>
      <c r="T193" s="29">
        <f t="shared" si="5"/>
        <v>-163885059</v>
      </c>
      <c r="U193" s="99">
        <v>42460</v>
      </c>
    </row>
    <row r="194" spans="2:21" x14ac:dyDescent="0.25">
      <c r="B194" s="5">
        <v>59</v>
      </c>
      <c r="C194" s="29">
        <v>5494</v>
      </c>
      <c r="D194" s="29">
        <v>0</v>
      </c>
      <c r="E194" s="29">
        <v>5585</v>
      </c>
      <c r="F194" s="29">
        <v>0</v>
      </c>
      <c r="G194" s="29">
        <v>155874537233</v>
      </c>
      <c r="H194" s="29">
        <v>146720484796</v>
      </c>
      <c r="I194" s="29">
        <v>17332084400</v>
      </c>
      <c r="J194" s="29">
        <v>73128832500</v>
      </c>
      <c r="K194" s="29">
        <v>69871997999</v>
      </c>
      <c r="L194" s="29">
        <v>0</v>
      </c>
      <c r="M194" s="29">
        <v>112138416230</v>
      </c>
      <c r="N194" s="29">
        <v>14328688309</v>
      </c>
      <c r="O194" s="29">
        <v>13165857750</v>
      </c>
      <c r="P194" s="29">
        <v>4791681118</v>
      </c>
      <c r="Q194" s="29">
        <v>315260337</v>
      </c>
      <c r="R194" s="29">
        <v>19379298656</v>
      </c>
      <c r="S194" s="29">
        <v>19100714212</v>
      </c>
      <c r="T194" s="29">
        <f t="shared" si="5"/>
        <v>278584444</v>
      </c>
      <c r="U194" s="110">
        <v>42369</v>
      </c>
    </row>
    <row r="195" spans="2:21" x14ac:dyDescent="0.25">
      <c r="B195" s="5">
        <v>69</v>
      </c>
      <c r="C195" s="29">
        <v>2808</v>
      </c>
      <c r="D195" s="29">
        <v>0</v>
      </c>
      <c r="E195" s="29">
        <v>2565</v>
      </c>
      <c r="F195" s="29">
        <v>0</v>
      </c>
      <c r="G195" s="29">
        <v>45510807559</v>
      </c>
      <c r="H195" s="29">
        <v>42486516959</v>
      </c>
      <c r="I195" s="29">
        <v>3898170300</v>
      </c>
      <c r="J195" s="29">
        <v>25189061082</v>
      </c>
      <c r="K195" s="29">
        <f>36514815858-J195</f>
        <v>11325754776</v>
      </c>
      <c r="L195" s="29">
        <v>1250000000</v>
      </c>
      <c r="M195" s="29">
        <v>32349650450</v>
      </c>
      <c r="N195" s="29">
        <f>5343256000-O195</f>
        <v>5290893500</v>
      </c>
      <c r="O195" s="29">
        <v>52362500</v>
      </c>
      <c r="P195" s="29">
        <v>1261592203</v>
      </c>
      <c r="Q195" s="29">
        <v>381567784</v>
      </c>
      <c r="R195" s="29">
        <f>878885651</f>
        <v>878885651</v>
      </c>
      <c r="S195" s="29">
        <f>827153300+44868274</f>
        <v>872021574</v>
      </c>
      <c r="T195" s="29">
        <f t="shared" si="5"/>
        <v>6864077</v>
      </c>
      <c r="U195" s="110">
        <v>42429</v>
      </c>
    </row>
    <row r="196" spans="2:21" x14ac:dyDescent="0.25">
      <c r="B196" s="5">
        <v>70</v>
      </c>
      <c r="C196" s="29">
        <v>730</v>
      </c>
      <c r="D196" s="29">
        <v>0</v>
      </c>
      <c r="E196" s="29">
        <v>602</v>
      </c>
      <c r="F196" s="29">
        <v>0</v>
      </c>
      <c r="G196" s="29">
        <v>10364857176</v>
      </c>
      <c r="H196" s="29">
        <v>7997569676</v>
      </c>
      <c r="I196" s="29">
        <v>3836268750</v>
      </c>
      <c r="J196" s="29">
        <v>6915015650</v>
      </c>
      <c r="K196" s="29">
        <v>1324941094</v>
      </c>
      <c r="L196" s="29">
        <v>540000000</v>
      </c>
      <c r="M196" s="29">
        <v>7281031100</v>
      </c>
      <c r="N196" s="84">
        <v>679894100</v>
      </c>
      <c r="O196" s="84">
        <v>2014750600</v>
      </c>
      <c r="P196" s="29">
        <v>138403423</v>
      </c>
      <c r="Q196" s="29">
        <v>3098999</v>
      </c>
      <c r="R196" s="29">
        <v>65547300</v>
      </c>
      <c r="S196" s="29">
        <v>94888000</v>
      </c>
      <c r="T196" s="29">
        <f t="shared" si="5"/>
        <v>-29340700</v>
      </c>
      <c r="U196" s="99">
        <v>42400</v>
      </c>
    </row>
    <row r="197" spans="2:21" x14ac:dyDescent="0.25">
      <c r="B197" s="5">
        <v>73</v>
      </c>
      <c r="C197" s="29">
        <f>4176-12</f>
        <v>4164</v>
      </c>
      <c r="D197" s="29">
        <v>0</v>
      </c>
      <c r="E197" s="29">
        <f>4779-11</f>
        <v>4768</v>
      </c>
      <c r="F197" s="29">
        <v>0</v>
      </c>
      <c r="G197" s="29">
        <v>142574913024</v>
      </c>
      <c r="H197" s="29">
        <v>139367966941</v>
      </c>
      <c r="I197" s="29">
        <v>18516435000</v>
      </c>
      <c r="J197" s="29">
        <v>65674619023</v>
      </c>
      <c r="K197" s="29">
        <v>35821621088</v>
      </c>
      <c r="L197" s="29">
        <v>59552572</v>
      </c>
      <c r="M197" s="29">
        <v>109505236805</v>
      </c>
      <c r="N197" s="84">
        <v>22455217691</v>
      </c>
      <c r="O197" s="84">
        <v>2216756268</v>
      </c>
      <c r="P197" s="29">
        <v>3348527323</v>
      </c>
      <c r="Q197" s="29">
        <v>2641080650</v>
      </c>
      <c r="R197" s="29">
        <v>2281572369</v>
      </c>
      <c r="S197" s="29">
        <v>2335502790</v>
      </c>
      <c r="T197" s="29">
        <f t="shared" si="5"/>
        <v>-53930421</v>
      </c>
      <c r="U197" s="99">
        <v>42429</v>
      </c>
    </row>
    <row r="198" spans="2:21" x14ac:dyDescent="0.25">
      <c r="B198" s="5">
        <v>76</v>
      </c>
      <c r="C198" s="29">
        <v>1181</v>
      </c>
      <c r="D198" s="29"/>
      <c r="E198" s="29">
        <v>968</v>
      </c>
      <c r="F198" s="29"/>
      <c r="G198" s="29">
        <v>38271407074</v>
      </c>
      <c r="H198" s="29">
        <v>36985689360</v>
      </c>
      <c r="I198" s="29">
        <f>22979476945-20139046945</f>
        <v>2840430000</v>
      </c>
      <c r="J198" s="29">
        <v>20139046945</v>
      </c>
      <c r="K198" s="29">
        <v>13072890803</v>
      </c>
      <c r="L198" s="29">
        <v>0</v>
      </c>
      <c r="M198" s="29">
        <v>27281122800</v>
      </c>
      <c r="N198" s="84">
        <v>60144344</v>
      </c>
      <c r="O198" s="84">
        <v>0</v>
      </c>
      <c r="P198" s="100">
        <v>0</v>
      </c>
      <c r="Q198" s="29">
        <v>696313253</v>
      </c>
      <c r="R198" s="29">
        <v>1137028947</v>
      </c>
      <c r="S198" s="29">
        <v>959030041</v>
      </c>
      <c r="T198" s="29">
        <f t="shared" si="5"/>
        <v>177998906</v>
      </c>
      <c r="U198" s="99">
        <v>42460</v>
      </c>
    </row>
    <row r="199" spans="2:21" x14ac:dyDescent="0.25">
      <c r="B199" s="5">
        <v>78</v>
      </c>
      <c r="C199" s="29">
        <v>521</v>
      </c>
      <c r="D199" s="29">
        <v>3</v>
      </c>
      <c r="E199" s="29">
        <v>679</v>
      </c>
      <c r="F199" s="29">
        <v>3</v>
      </c>
      <c r="G199" s="29">
        <v>15618950589</v>
      </c>
      <c r="H199" s="29">
        <v>15376795489</v>
      </c>
      <c r="I199" s="29">
        <v>1456475000</v>
      </c>
      <c r="J199" s="29">
        <v>4730950200</v>
      </c>
      <c r="K199" s="29">
        <v>7185280043</v>
      </c>
      <c r="L199" s="29">
        <v>15372100</v>
      </c>
      <c r="M199" s="29">
        <v>11359613583</v>
      </c>
      <c r="N199" s="84">
        <v>360275500</v>
      </c>
      <c r="O199" s="84">
        <v>76500600</v>
      </c>
      <c r="P199" s="29">
        <v>419653741</v>
      </c>
      <c r="Q199" s="29">
        <v>506846782</v>
      </c>
      <c r="R199" s="29">
        <v>453516525</v>
      </c>
      <c r="S199" s="29">
        <v>320750429</v>
      </c>
      <c r="T199" s="29">
        <f t="shared" si="5"/>
        <v>132766096</v>
      </c>
      <c r="U199" s="99">
        <v>42460</v>
      </c>
    </row>
    <row r="200" spans="2:21" x14ac:dyDescent="0.25">
      <c r="B200" s="5">
        <v>79</v>
      </c>
      <c r="C200" s="29">
        <v>289</v>
      </c>
      <c r="D200" s="29">
        <v>26</v>
      </c>
      <c r="E200" s="29">
        <v>255</v>
      </c>
      <c r="F200" s="29">
        <v>38</v>
      </c>
      <c r="G200" s="29">
        <v>10917185831</v>
      </c>
      <c r="H200" s="29">
        <v>10883531831</v>
      </c>
      <c r="I200" s="29">
        <v>941187000</v>
      </c>
      <c r="J200" s="29">
        <v>6016809300</v>
      </c>
      <c r="K200" s="29">
        <v>2991534050</v>
      </c>
      <c r="L200" s="29">
        <v>0</v>
      </c>
      <c r="M200" s="29">
        <v>6137665700</v>
      </c>
      <c r="N200" s="84">
        <v>152052200</v>
      </c>
      <c r="O200" s="84">
        <v>488182800</v>
      </c>
      <c r="P200" s="29">
        <v>476696593</v>
      </c>
      <c r="Q200" s="29">
        <v>182285250</v>
      </c>
      <c r="R200" s="29">
        <v>332637382</v>
      </c>
      <c r="S200" s="29">
        <v>296545480</v>
      </c>
      <c r="T200" s="29">
        <f t="shared" si="5"/>
        <v>36091902</v>
      </c>
      <c r="U200" s="99">
        <v>42460</v>
      </c>
    </row>
    <row r="201" spans="2:21" x14ac:dyDescent="0.25">
      <c r="B201" s="5">
        <v>80</v>
      </c>
      <c r="C201" s="29">
        <v>229</v>
      </c>
      <c r="D201" s="29">
        <v>0</v>
      </c>
      <c r="E201" s="29">
        <v>138</v>
      </c>
      <c r="F201" s="29">
        <v>0</v>
      </c>
      <c r="G201" s="29">
        <v>1420383548.3499999</v>
      </c>
      <c r="H201" s="29">
        <v>1330382730.5599999</v>
      </c>
      <c r="I201" s="29">
        <v>174570730.19999999</v>
      </c>
      <c r="J201" s="29">
        <v>248677127.40000001</v>
      </c>
      <c r="K201" s="29">
        <v>394937613.70000005</v>
      </c>
      <c r="L201" s="29">
        <v>0</v>
      </c>
      <c r="M201" s="29">
        <v>453998475.72000003</v>
      </c>
      <c r="N201" s="84">
        <v>62762149.340000004</v>
      </c>
      <c r="O201" s="84">
        <v>0</v>
      </c>
      <c r="P201" s="29">
        <v>219754295</v>
      </c>
      <c r="Q201" s="29">
        <v>4212558</v>
      </c>
      <c r="R201" s="29">
        <v>51249778.350000001</v>
      </c>
      <c r="S201" s="29">
        <v>67484565.299999997</v>
      </c>
      <c r="T201" s="29">
        <f t="shared" si="5"/>
        <v>-16234786.949999996</v>
      </c>
      <c r="U201" s="99">
        <v>42460</v>
      </c>
    </row>
    <row r="202" spans="2:21" x14ac:dyDescent="0.25">
      <c r="B202" s="5">
        <v>83</v>
      </c>
      <c r="C202" s="29">
        <f>849+5</f>
        <v>854</v>
      </c>
      <c r="D202" s="29">
        <v>0</v>
      </c>
      <c r="E202" s="29">
        <v>1077</v>
      </c>
      <c r="F202" s="29">
        <v>0</v>
      </c>
      <c r="G202" s="29">
        <v>6542011284</v>
      </c>
      <c r="H202" s="29">
        <v>6000299875</v>
      </c>
      <c r="I202" s="29">
        <v>1183930000</v>
      </c>
      <c r="J202" s="29">
        <v>4795134436</v>
      </c>
      <c r="K202" s="29">
        <f>5001030434-J202</f>
        <v>205895998</v>
      </c>
      <c r="L202" s="29">
        <v>0</v>
      </c>
      <c r="M202" s="29">
        <v>4177678700</v>
      </c>
      <c r="N202" s="84">
        <f>473215400+172880900</f>
        <v>646096300</v>
      </c>
      <c r="O202" s="84">
        <v>114642311</v>
      </c>
      <c r="P202" s="29">
        <v>115286773</v>
      </c>
      <c r="Q202" s="29">
        <v>41114993</v>
      </c>
      <c r="R202" s="29">
        <v>239146981</v>
      </c>
      <c r="S202" s="29">
        <v>233953438</v>
      </c>
      <c r="T202" s="29">
        <f t="shared" si="5"/>
        <v>5193543</v>
      </c>
      <c r="U202" s="99">
        <v>42460</v>
      </c>
    </row>
    <row r="203" spans="2:21" x14ac:dyDescent="0.25">
      <c r="B203" s="5">
        <v>84</v>
      </c>
      <c r="C203" s="29">
        <v>423</v>
      </c>
      <c r="D203" s="29">
        <v>0</v>
      </c>
      <c r="E203" s="29">
        <v>568</v>
      </c>
      <c r="F203" s="29">
        <v>0</v>
      </c>
      <c r="G203" s="29">
        <v>6160185765</v>
      </c>
      <c r="H203" s="29">
        <f>31359300+26226005+62260697+127113949+74621366+500000000+35880250+101953800+100791000+106119400+2462956800+1593882700+140000000+31850000</f>
        <v>5395015267</v>
      </c>
      <c r="I203" s="29">
        <v>509504096</v>
      </c>
      <c r="J203" s="29">
        <v>4195600629</v>
      </c>
      <c r="K203" s="29">
        <f>4994923096-J203</f>
        <v>799322467</v>
      </c>
      <c r="L203" s="29">
        <v>400000000</v>
      </c>
      <c r="M203" s="29">
        <v>4357782200</v>
      </c>
      <c r="N203" s="84">
        <f>463054600-O203</f>
        <v>442346300</v>
      </c>
      <c r="O203" s="84">
        <v>20708300</v>
      </c>
      <c r="P203" s="29">
        <v>123328175</v>
      </c>
      <c r="Q203" s="29">
        <v>41390627</v>
      </c>
      <c r="R203" s="29">
        <v>158929640</v>
      </c>
      <c r="S203" s="29">
        <v>158249345</v>
      </c>
      <c r="T203" s="29">
        <f t="shared" si="5"/>
        <v>680295</v>
      </c>
      <c r="U203" s="110">
        <v>42429</v>
      </c>
    </row>
    <row r="204" spans="2:21" x14ac:dyDescent="0.25">
      <c r="B204" s="5">
        <v>39</v>
      </c>
      <c r="C204" s="29">
        <v>24879</v>
      </c>
      <c r="D204" s="29">
        <v>0</v>
      </c>
      <c r="E204" s="29">
        <v>21830</v>
      </c>
      <c r="F204" s="29">
        <v>0</v>
      </c>
      <c r="G204" s="29">
        <v>920525282641</v>
      </c>
      <c r="H204" s="29">
        <v>847174990010</v>
      </c>
      <c r="I204" s="29">
        <v>81479620403</v>
      </c>
      <c r="J204" s="29">
        <v>627084341044</v>
      </c>
      <c r="K204" s="29">
        <v>165335039439</v>
      </c>
      <c r="L204" s="29">
        <v>3900000000</v>
      </c>
      <c r="M204" s="29">
        <v>702593681700.28052</v>
      </c>
      <c r="N204" s="29">
        <v>9179557794</v>
      </c>
      <c r="O204" s="29">
        <v>45868666117</v>
      </c>
      <c r="P204" s="29">
        <v>16798289795</v>
      </c>
      <c r="Q204" s="29">
        <v>5021097780</v>
      </c>
      <c r="R204" s="29">
        <v>19232761962</v>
      </c>
      <c r="S204" s="29">
        <v>21009461027</v>
      </c>
      <c r="T204" s="29">
        <f t="shared" si="5"/>
        <v>-1776699065</v>
      </c>
      <c r="U204" s="99">
        <v>42460</v>
      </c>
    </row>
    <row r="205" spans="2:21" x14ac:dyDescent="0.25">
      <c r="B205" s="5">
        <v>41</v>
      </c>
      <c r="C205" s="29">
        <v>12632</v>
      </c>
      <c r="D205" s="29">
        <v>1061</v>
      </c>
      <c r="E205" s="29">
        <v>11594</v>
      </c>
      <c r="F205" s="29">
        <v>11109</v>
      </c>
      <c r="G205" s="29">
        <v>415347569466.22223</v>
      </c>
      <c r="H205" s="29">
        <v>394219074004</v>
      </c>
      <c r="I205" s="29">
        <v>47515359100</v>
      </c>
      <c r="J205" s="29">
        <v>290435398844</v>
      </c>
      <c r="K205" s="29">
        <v>31244609570</v>
      </c>
      <c r="L205" s="29">
        <v>7165838400</v>
      </c>
      <c r="M205" s="29">
        <v>330236302995</v>
      </c>
      <c r="N205" s="29">
        <v>54706304745</v>
      </c>
      <c r="O205" s="29">
        <v>16193036200</v>
      </c>
      <c r="P205" s="29">
        <v>19084632282</v>
      </c>
      <c r="Q205" s="29">
        <v>4549179341</v>
      </c>
      <c r="R205" s="29">
        <v>13687143967</v>
      </c>
      <c r="S205" s="29">
        <v>14159582207</v>
      </c>
      <c r="T205" s="29">
        <f t="shared" si="5"/>
        <v>-472438240</v>
      </c>
      <c r="U205" s="99">
        <v>42460</v>
      </c>
    </row>
    <row r="206" spans="2:21" x14ac:dyDescent="0.25">
      <c r="B206" s="5">
        <v>44</v>
      </c>
      <c r="C206" s="29">
        <v>3766</v>
      </c>
      <c r="D206" s="29">
        <v>0</v>
      </c>
      <c r="E206" s="29">
        <v>3880</v>
      </c>
      <c r="F206" s="29">
        <v>0</v>
      </c>
      <c r="G206" s="29">
        <v>161915939680</v>
      </c>
      <c r="H206" s="29">
        <v>155190234661</v>
      </c>
      <c r="I206" s="29">
        <v>11942481000</v>
      </c>
      <c r="J206" s="29">
        <v>89132309842</v>
      </c>
      <c r="K206" s="29">
        <v>42429767355</v>
      </c>
      <c r="L206" s="29">
        <v>0</v>
      </c>
      <c r="M206" s="29">
        <v>121361338726</v>
      </c>
      <c r="N206" s="29">
        <v>31581230572</v>
      </c>
      <c r="O206" s="29">
        <v>8655350000</v>
      </c>
      <c r="P206" s="29">
        <v>5917603019</v>
      </c>
      <c r="Q206" s="29">
        <v>1054000334</v>
      </c>
      <c r="R206" s="29">
        <v>3583047363</v>
      </c>
      <c r="S206" s="29">
        <v>4374272828</v>
      </c>
      <c r="T206" s="29">
        <f t="shared" si="5"/>
        <v>-791225465</v>
      </c>
      <c r="U206" s="99">
        <v>42460</v>
      </c>
    </row>
    <row r="207" spans="2:21" x14ac:dyDescent="0.25">
      <c r="B207" s="5">
        <v>45</v>
      </c>
      <c r="C207" s="29">
        <v>17904</v>
      </c>
      <c r="D207" s="29">
        <v>0</v>
      </c>
      <c r="E207" s="29">
        <v>21016</v>
      </c>
      <c r="F207" s="29">
        <v>0</v>
      </c>
      <c r="G207" s="29">
        <v>721269716331</v>
      </c>
      <c r="H207" s="29">
        <v>704742418008</v>
      </c>
      <c r="I207" s="29">
        <v>57009223925</v>
      </c>
      <c r="J207" s="29">
        <v>490115959979.70001</v>
      </c>
      <c r="K207" s="29">
        <v>104988129497.99994</v>
      </c>
      <c r="L207" s="29">
        <v>0</v>
      </c>
      <c r="M207" s="29">
        <v>506420096206.70001</v>
      </c>
      <c r="N207" s="29">
        <v>56152638075</v>
      </c>
      <c r="O207" s="29">
        <v>8456278675</v>
      </c>
      <c r="P207" s="29">
        <v>21944779640</v>
      </c>
      <c r="Q207" s="29">
        <v>29085048656</v>
      </c>
      <c r="R207" s="29">
        <v>19459605533</v>
      </c>
      <c r="S207" s="29">
        <v>19305717853</v>
      </c>
      <c r="T207" s="29">
        <f t="shared" si="5"/>
        <v>153887680</v>
      </c>
      <c r="U207" s="99">
        <v>42460</v>
      </c>
    </row>
    <row r="208" spans="2:21" x14ac:dyDescent="0.25">
      <c r="B208" s="5">
        <v>48</v>
      </c>
      <c r="C208" s="29">
        <v>7397</v>
      </c>
      <c r="D208" s="29">
        <v>628</v>
      </c>
      <c r="E208" s="29">
        <v>5364</v>
      </c>
      <c r="F208" s="29">
        <v>577</v>
      </c>
      <c r="G208" s="29">
        <v>256236005539</v>
      </c>
      <c r="H208" s="29">
        <v>246287562531</v>
      </c>
      <c r="I208" s="29">
        <v>19244756600</v>
      </c>
      <c r="J208" s="29">
        <v>180945954151</v>
      </c>
      <c r="K208" s="29">
        <v>31091724360</v>
      </c>
      <c r="L208" s="29">
        <v>0</v>
      </c>
      <c r="M208" s="29">
        <v>157366332260</v>
      </c>
      <c r="N208" s="29">
        <v>26222152975</v>
      </c>
      <c r="O208" s="29">
        <v>12810876280</v>
      </c>
      <c r="P208" s="29">
        <v>8228487125</v>
      </c>
      <c r="Q208" s="29">
        <v>5383689681</v>
      </c>
      <c r="R208" s="29">
        <v>2013872650</v>
      </c>
      <c r="S208" s="29">
        <v>2402006193</v>
      </c>
      <c r="T208" s="29">
        <f t="shared" si="5"/>
        <v>-388133543</v>
      </c>
      <c r="U208" s="110">
        <v>42400</v>
      </c>
    </row>
    <row r="209" spans="2:21" x14ac:dyDescent="0.25">
      <c r="B209" s="5">
        <v>49</v>
      </c>
      <c r="C209" s="29">
        <v>2744</v>
      </c>
      <c r="D209" s="29">
        <v>207</v>
      </c>
      <c r="E209" s="29">
        <v>2995</v>
      </c>
      <c r="F209" s="29">
        <v>202</v>
      </c>
      <c r="G209" s="29">
        <v>98459690751</v>
      </c>
      <c r="H209" s="29">
        <v>97022481136</v>
      </c>
      <c r="I209" s="29">
        <v>7729327400</v>
      </c>
      <c r="J209" s="29">
        <v>73437148359</v>
      </c>
      <c r="K209" s="29">
        <v>9318383550</v>
      </c>
      <c r="L209" s="29">
        <v>0</v>
      </c>
      <c r="M209" s="29">
        <v>87017133750</v>
      </c>
      <c r="N209" s="29">
        <v>24237393925</v>
      </c>
      <c r="O209" s="29">
        <v>16434379525</v>
      </c>
      <c r="P209" s="29">
        <v>2768612578</v>
      </c>
      <c r="Q209" s="29">
        <v>1204222404</v>
      </c>
      <c r="R209" s="29">
        <v>2850240307</v>
      </c>
      <c r="S209" s="29">
        <v>2833028089</v>
      </c>
      <c r="T209" s="29">
        <f t="shared" si="5"/>
        <v>17212218</v>
      </c>
      <c r="U209" s="99">
        <v>42460</v>
      </c>
    </row>
    <row r="210" spans="2:21" x14ac:dyDescent="0.25">
      <c r="B210" s="5">
        <v>58</v>
      </c>
      <c r="C210" s="29">
        <v>3503</v>
      </c>
      <c r="D210" s="29">
        <v>0</v>
      </c>
      <c r="E210" s="29">
        <v>3121</v>
      </c>
      <c r="F210" s="29">
        <v>0</v>
      </c>
      <c r="G210" s="29">
        <v>124024582496</v>
      </c>
      <c r="H210" s="29">
        <v>84106025851</v>
      </c>
      <c r="I210" s="29">
        <v>12406713199</v>
      </c>
      <c r="J210" s="29">
        <v>77553447549</v>
      </c>
      <c r="K210" s="29">
        <v>26581747471</v>
      </c>
      <c r="L210" s="29">
        <v>1933320000</v>
      </c>
      <c r="M210" s="29">
        <v>74814275044</v>
      </c>
      <c r="N210" s="29">
        <v>7760679453</v>
      </c>
      <c r="O210" s="29">
        <v>3164922114</v>
      </c>
      <c r="P210" s="29">
        <v>560849345</v>
      </c>
      <c r="Q210" s="29">
        <v>677872384</v>
      </c>
      <c r="R210" s="29">
        <v>11697161848</v>
      </c>
      <c r="S210" s="29">
        <v>13620593512</v>
      </c>
      <c r="T210" s="29">
        <f t="shared" si="5"/>
        <v>-1923431664</v>
      </c>
      <c r="U210" s="99">
        <v>42460</v>
      </c>
    </row>
    <row r="211" spans="2:21" x14ac:dyDescent="0.25">
      <c r="B211" s="5">
        <v>55</v>
      </c>
      <c r="C211" s="29">
        <v>1806</v>
      </c>
      <c r="D211" s="29">
        <v>171</v>
      </c>
      <c r="E211" s="29">
        <v>1306</v>
      </c>
      <c r="F211" s="29">
        <v>147</v>
      </c>
      <c r="G211" s="29">
        <v>37188261826</v>
      </c>
      <c r="H211" s="29">
        <v>27557732692</v>
      </c>
      <c r="I211" s="29">
        <v>4932067500</v>
      </c>
      <c r="J211" s="29">
        <v>21378113700</v>
      </c>
      <c r="K211" s="29">
        <v>7436059450</v>
      </c>
      <c r="L211" s="29">
        <v>0</v>
      </c>
      <c r="M211" s="29">
        <v>20021623350</v>
      </c>
      <c r="N211" s="29">
        <v>2240274950</v>
      </c>
      <c r="O211" s="29">
        <v>10253216000</v>
      </c>
      <c r="P211" s="29">
        <v>1829594666</v>
      </c>
      <c r="Q211" s="29">
        <v>367586617</v>
      </c>
      <c r="R211" s="29">
        <v>323140781</v>
      </c>
      <c r="S211" s="29">
        <v>689923194</v>
      </c>
      <c r="T211" s="29">
        <f t="shared" si="5"/>
        <v>-366782413</v>
      </c>
      <c r="U211" s="99">
        <v>42460</v>
      </c>
    </row>
    <row r="212" spans="2:21" x14ac:dyDescent="0.25">
      <c r="B212" s="5">
        <v>56</v>
      </c>
      <c r="C212" s="29">
        <v>1296</v>
      </c>
      <c r="D212" s="29">
        <v>38</v>
      </c>
      <c r="E212" s="29">
        <v>945</v>
      </c>
      <c r="F212" s="29">
        <v>31</v>
      </c>
      <c r="G212" s="29">
        <v>25483183762</v>
      </c>
      <c r="H212" s="29">
        <v>16385425387</v>
      </c>
      <c r="I212" s="29">
        <v>2548577725</v>
      </c>
      <c r="J212" s="29">
        <v>18755184250</v>
      </c>
      <c r="K212" s="29">
        <v>2370069525</v>
      </c>
      <c r="L212" s="29">
        <v>1431166600</v>
      </c>
      <c r="M212" s="29">
        <v>14300935725</v>
      </c>
      <c r="N212" s="29">
        <v>4572683075</v>
      </c>
      <c r="O212" s="29">
        <v>6266216350</v>
      </c>
      <c r="P212" s="29">
        <v>761249949</v>
      </c>
      <c r="Q212" s="29">
        <v>112486506</v>
      </c>
      <c r="R212" s="29">
        <v>779999247</v>
      </c>
      <c r="S212" s="29">
        <v>1092010866</v>
      </c>
      <c r="T212" s="29">
        <f t="shared" si="5"/>
        <v>-312011619</v>
      </c>
      <c r="U212" s="110">
        <v>41517</v>
      </c>
    </row>
    <row r="213" spans="2:21" x14ac:dyDescent="0.25">
      <c r="B213" s="5">
        <v>60</v>
      </c>
      <c r="C213" s="29">
        <v>1514</v>
      </c>
      <c r="D213" s="29">
        <v>109</v>
      </c>
      <c r="E213" s="29">
        <v>2043</v>
      </c>
      <c r="F213" s="29">
        <v>93</v>
      </c>
      <c r="G213" s="29">
        <v>34704912910</v>
      </c>
      <c r="H213" s="29">
        <v>32494245929</v>
      </c>
      <c r="I213" s="29">
        <v>5030050000</v>
      </c>
      <c r="J213" s="29">
        <v>17711248000</v>
      </c>
      <c r="K213" s="29">
        <v>6880314000</v>
      </c>
      <c r="L213" s="29">
        <v>0</v>
      </c>
      <c r="M213" s="29">
        <v>24086228000</v>
      </c>
      <c r="N213" s="29">
        <v>5954114500</v>
      </c>
      <c r="O213" s="29">
        <v>7095464500</v>
      </c>
      <c r="P213" s="29">
        <v>2452724413</v>
      </c>
      <c r="Q213" s="29">
        <v>352936449</v>
      </c>
      <c r="R213" s="29">
        <v>565981976</v>
      </c>
      <c r="S213" s="29">
        <v>603567317</v>
      </c>
      <c r="T213" s="29">
        <f t="shared" si="5"/>
        <v>-37585341</v>
      </c>
      <c r="U213" s="99">
        <v>42460</v>
      </c>
    </row>
    <row r="214" spans="2:21" x14ac:dyDescent="0.25">
      <c r="B214" s="5">
        <v>61</v>
      </c>
      <c r="C214" s="29">
        <v>1394</v>
      </c>
      <c r="D214" s="29">
        <v>99</v>
      </c>
      <c r="E214" s="29">
        <v>1519</v>
      </c>
      <c r="F214" s="29">
        <v>98</v>
      </c>
      <c r="G214" s="29">
        <v>42756496443</v>
      </c>
      <c r="H214" s="29">
        <v>39796076643</v>
      </c>
      <c r="I214" s="29">
        <v>4576430000</v>
      </c>
      <c r="J214" s="29">
        <v>25880841050</v>
      </c>
      <c r="K214" s="29">
        <v>7097538300</v>
      </c>
      <c r="L214" s="29">
        <v>95000000</v>
      </c>
      <c r="M214" s="29">
        <v>30486988900</v>
      </c>
      <c r="N214" s="29">
        <v>3491963400</v>
      </c>
      <c r="O214" s="29">
        <v>1345693900</v>
      </c>
      <c r="P214" s="29">
        <v>1517334320</v>
      </c>
      <c r="Q214" s="29">
        <v>285596863</v>
      </c>
      <c r="R214" s="29">
        <v>5358769597</v>
      </c>
      <c r="S214" s="29">
        <v>4935974840</v>
      </c>
      <c r="T214" s="29">
        <f t="shared" si="5"/>
        <v>422794757</v>
      </c>
      <c r="U214" s="110">
        <v>42369</v>
      </c>
    </row>
    <row r="215" spans="2:21" x14ac:dyDescent="0.25">
      <c r="B215" s="5">
        <v>62</v>
      </c>
      <c r="C215" s="29">
        <v>12274</v>
      </c>
      <c r="D215" s="29">
        <v>0</v>
      </c>
      <c r="E215" s="29">
        <v>18784</v>
      </c>
      <c r="F215" s="29">
        <v>0</v>
      </c>
      <c r="G215" s="29">
        <v>364447713253</v>
      </c>
      <c r="H215" s="29">
        <v>334298868067</v>
      </c>
      <c r="I215" s="29">
        <v>49921021250</v>
      </c>
      <c r="J215" s="29">
        <v>200357105800</v>
      </c>
      <c r="K215" s="29">
        <v>68494768425</v>
      </c>
      <c r="L215" s="29">
        <v>375000000</v>
      </c>
      <c r="M215" s="29">
        <v>216224799100</v>
      </c>
      <c r="N215" s="29">
        <v>16456742300</v>
      </c>
      <c r="O215" s="29">
        <v>1604843950</v>
      </c>
      <c r="P215" s="29">
        <v>18758627180</v>
      </c>
      <c r="Q215" s="29">
        <v>3430869448</v>
      </c>
      <c r="R215" s="101">
        <v>11239821393</v>
      </c>
      <c r="S215" s="29">
        <v>11047028398</v>
      </c>
      <c r="T215" s="29">
        <f t="shared" si="5"/>
        <v>192792995</v>
      </c>
      <c r="U215" s="99">
        <v>42460</v>
      </c>
    </row>
    <row r="216" spans="2:21" x14ac:dyDescent="0.25">
      <c r="B216" s="5">
        <v>64</v>
      </c>
      <c r="C216" s="29">
        <v>5306</v>
      </c>
      <c r="D216" s="29">
        <v>431</v>
      </c>
      <c r="E216" s="29">
        <v>5203</v>
      </c>
      <c r="F216" s="29">
        <v>397</v>
      </c>
      <c r="G216" s="29">
        <v>166326495694</v>
      </c>
      <c r="H216" s="29">
        <v>160286815964</v>
      </c>
      <c r="I216" s="29">
        <v>16979980000</v>
      </c>
      <c r="J216" s="29">
        <v>88338694750</v>
      </c>
      <c r="K216" s="29">
        <v>45504314775</v>
      </c>
      <c r="L216" s="29">
        <v>0</v>
      </c>
      <c r="M216" s="29">
        <v>103271108900</v>
      </c>
      <c r="N216" s="29">
        <v>4645635450</v>
      </c>
      <c r="O216" s="29">
        <v>3318721850</v>
      </c>
      <c r="P216" s="29">
        <v>7296808473</v>
      </c>
      <c r="Q216" s="29">
        <v>1484306778</v>
      </c>
      <c r="R216" s="29">
        <v>5647201777</v>
      </c>
      <c r="S216" s="29">
        <v>5597932379</v>
      </c>
      <c r="T216" s="29">
        <f t="shared" si="5"/>
        <v>49269398</v>
      </c>
      <c r="U216" s="99">
        <v>42460</v>
      </c>
    </row>
    <row r="217" spans="2:21" x14ac:dyDescent="0.25">
      <c r="B217" s="5">
        <v>65</v>
      </c>
      <c r="C217" s="29">
        <v>1646</v>
      </c>
      <c r="D217" s="29">
        <v>60</v>
      </c>
      <c r="E217" s="29">
        <v>1553</v>
      </c>
      <c r="F217" s="29">
        <v>51</v>
      </c>
      <c r="G217" s="29">
        <v>57343607778</v>
      </c>
      <c r="H217" s="29">
        <v>56583147902</v>
      </c>
      <c r="I217" s="29">
        <v>4205385000</v>
      </c>
      <c r="J217" s="29">
        <v>36412854600</v>
      </c>
      <c r="K217" s="29">
        <v>12227402700</v>
      </c>
      <c r="L217" s="29">
        <v>0</v>
      </c>
      <c r="M217" s="29">
        <v>36440745450</v>
      </c>
      <c r="N217" s="29">
        <v>3164253700</v>
      </c>
      <c r="O217" s="29">
        <v>2113173700</v>
      </c>
      <c r="P217" s="29">
        <v>1654137317</v>
      </c>
      <c r="Q217" s="29">
        <v>266567731</v>
      </c>
      <c r="R217" s="29">
        <v>6593233808</v>
      </c>
      <c r="S217" s="29">
        <v>6234561370</v>
      </c>
      <c r="T217" s="29">
        <f t="shared" si="5"/>
        <v>358672438</v>
      </c>
      <c r="U217" s="110">
        <v>42369</v>
      </c>
    </row>
    <row r="218" spans="2:21" x14ac:dyDescent="0.25">
      <c r="B218" s="5">
        <v>66</v>
      </c>
      <c r="C218" s="29">
        <v>4346</v>
      </c>
      <c r="D218" s="29">
        <v>264</v>
      </c>
      <c r="E218" s="29">
        <v>4594</v>
      </c>
      <c r="F218" s="29">
        <v>180</v>
      </c>
      <c r="G218" s="29">
        <v>119870086925</v>
      </c>
      <c r="H218" s="29">
        <v>113278409477</v>
      </c>
      <c r="I218" s="29">
        <v>12321215000</v>
      </c>
      <c r="J218" s="29">
        <v>74356287100</v>
      </c>
      <c r="K218" s="29">
        <v>22911402690</v>
      </c>
      <c r="L218" s="29">
        <v>0</v>
      </c>
      <c r="M218" s="29">
        <v>89611078500</v>
      </c>
      <c r="N218" s="102">
        <v>9298413050</v>
      </c>
      <c r="O218" s="84">
        <v>1236393650</v>
      </c>
      <c r="P218" s="29">
        <v>1690311055</v>
      </c>
      <c r="Q218" s="29">
        <v>187652351</v>
      </c>
      <c r="R218" s="29">
        <v>2180267749</v>
      </c>
      <c r="S218" s="29">
        <v>1952507042</v>
      </c>
      <c r="T218" s="29">
        <f t="shared" si="5"/>
        <v>227760707</v>
      </c>
      <c r="U218" s="110">
        <v>42429</v>
      </c>
    </row>
    <row r="219" spans="2:21" x14ac:dyDescent="0.25">
      <c r="B219" s="5">
        <v>67</v>
      </c>
      <c r="C219" s="29">
        <v>9674</v>
      </c>
      <c r="D219" s="29">
        <v>796</v>
      </c>
      <c r="E219" s="29">
        <v>12585</v>
      </c>
      <c r="F219" s="29">
        <v>780</v>
      </c>
      <c r="G219" s="29">
        <v>291704955197</v>
      </c>
      <c r="H219" s="29">
        <v>298320699721</v>
      </c>
      <c r="I219" s="29">
        <v>42122590450</v>
      </c>
      <c r="J219" s="29">
        <v>161979965390</v>
      </c>
      <c r="K219" s="29">
        <f>233518700440-J219</f>
        <v>71538735050</v>
      </c>
      <c r="L219" s="29">
        <v>0</v>
      </c>
      <c r="M219" s="29">
        <v>205614235850</v>
      </c>
      <c r="N219" s="29">
        <v>22114520300</v>
      </c>
      <c r="O219" s="29">
        <v>4256109550</v>
      </c>
      <c r="P219" s="29">
        <v>9436564453</v>
      </c>
      <c r="Q219" s="29">
        <v>3242095729</v>
      </c>
      <c r="R219" s="29">
        <f>6393390400+1034414262</f>
        <v>7427804662</v>
      </c>
      <c r="S219" s="29">
        <v>7373920476</v>
      </c>
      <c r="T219" s="29">
        <f t="shared" si="5"/>
        <v>53884186</v>
      </c>
      <c r="U219" s="99">
        <v>42460</v>
      </c>
    </row>
    <row r="220" spans="2:21" x14ac:dyDescent="0.25">
      <c r="B220" s="5">
        <v>68</v>
      </c>
      <c r="C220" s="29">
        <v>944</v>
      </c>
      <c r="D220" s="29">
        <v>0</v>
      </c>
      <c r="E220" s="29">
        <v>1407</v>
      </c>
      <c r="F220" s="29">
        <v>0</v>
      </c>
      <c r="G220" s="29">
        <v>23749008740</v>
      </c>
      <c r="H220" s="29">
        <v>20994646558</v>
      </c>
      <c r="I220" s="29">
        <v>2354512900</v>
      </c>
      <c r="J220" s="29">
        <v>10697078458</v>
      </c>
      <c r="K220" s="29">
        <v>6165705016</v>
      </c>
      <c r="L220" s="29">
        <v>1749999500</v>
      </c>
      <c r="M220" s="100">
        <v>14775019180</v>
      </c>
      <c r="N220" s="29">
        <v>1347546880</v>
      </c>
      <c r="O220" s="29">
        <v>340144400</v>
      </c>
      <c r="P220" s="29">
        <v>843337519</v>
      </c>
      <c r="Q220" s="29">
        <v>329088299</v>
      </c>
      <c r="R220" s="29">
        <v>902070735</v>
      </c>
      <c r="S220" s="29">
        <v>884950243</v>
      </c>
      <c r="T220" s="29">
        <f t="shared" si="5"/>
        <v>17120492</v>
      </c>
      <c r="U220" s="99">
        <v>42460</v>
      </c>
    </row>
    <row r="221" spans="2:21" x14ac:dyDescent="0.25">
      <c r="B221" s="5">
        <v>71</v>
      </c>
      <c r="C221" s="29">
        <v>1892</v>
      </c>
      <c r="D221" s="29"/>
      <c r="E221" s="29">
        <v>2872</v>
      </c>
      <c r="F221" s="29"/>
      <c r="G221" s="29">
        <v>68345338680</v>
      </c>
      <c r="H221" s="29">
        <v>61415851019</v>
      </c>
      <c r="I221" s="29">
        <v>8184828700</v>
      </c>
      <c r="J221" s="29">
        <v>37471533150</v>
      </c>
      <c r="K221" s="29">
        <v>11089038540</v>
      </c>
      <c r="L221" s="29">
        <v>0</v>
      </c>
      <c r="M221" s="29">
        <v>48797727850</v>
      </c>
      <c r="N221" s="29">
        <v>9316902600</v>
      </c>
      <c r="O221" s="29">
        <v>6436698200</v>
      </c>
      <c r="P221" s="29">
        <v>5814780957</v>
      </c>
      <c r="Q221" s="29">
        <v>942762141</v>
      </c>
      <c r="R221" s="29">
        <f>1355798850+70202768</f>
        <v>1426001618</v>
      </c>
      <c r="S221" s="29">
        <f>1406552250</f>
        <v>1406552250</v>
      </c>
      <c r="T221" s="29">
        <f t="shared" si="5"/>
        <v>19449368</v>
      </c>
      <c r="U221" s="99">
        <v>42460</v>
      </c>
    </row>
    <row r="222" spans="2:21" x14ac:dyDescent="0.25">
      <c r="B222" s="5">
        <v>72</v>
      </c>
      <c r="C222" s="29">
        <v>571</v>
      </c>
      <c r="D222" s="29">
        <v>120</v>
      </c>
      <c r="E222" s="29">
        <v>750</v>
      </c>
      <c r="F222" s="29">
        <v>87</v>
      </c>
      <c r="G222" s="29">
        <v>14157051083</v>
      </c>
      <c r="H222" s="29">
        <v>13453690225</v>
      </c>
      <c r="I222" s="29">
        <v>2169370000</v>
      </c>
      <c r="J222" s="29">
        <v>8583384650</v>
      </c>
      <c r="K222" s="29">
        <f>10336872700-J222</f>
        <v>1753488050</v>
      </c>
      <c r="L222" s="29">
        <v>0</v>
      </c>
      <c r="M222" s="29">
        <v>9079777500</v>
      </c>
      <c r="N222" s="29">
        <v>1873817850</v>
      </c>
      <c r="O222" s="29">
        <v>9560000</v>
      </c>
      <c r="P222" s="29">
        <v>424763500</v>
      </c>
      <c r="Q222" s="29">
        <v>150994058</v>
      </c>
      <c r="R222" s="29">
        <v>313118735</v>
      </c>
      <c r="S222" s="29">
        <v>317695616</v>
      </c>
      <c r="T222" s="29">
        <f t="shared" si="5"/>
        <v>-4576881</v>
      </c>
      <c r="U222" s="110">
        <v>42429</v>
      </c>
    </row>
    <row r="223" spans="2:21" x14ac:dyDescent="0.25">
      <c r="B223" s="5">
        <v>74</v>
      </c>
      <c r="C223" s="29">
        <v>506</v>
      </c>
      <c r="D223" s="29">
        <v>107</v>
      </c>
      <c r="E223" s="29">
        <v>575</v>
      </c>
      <c r="F223" s="29">
        <v>98</v>
      </c>
      <c r="G223" s="29">
        <v>38931635616</v>
      </c>
      <c r="H223" s="29">
        <v>37308225500</v>
      </c>
      <c r="I223" s="29">
        <v>4123616000</v>
      </c>
      <c r="J223" s="29">
        <v>21019435277</v>
      </c>
      <c r="K223" s="29">
        <f>29458362148-J223</f>
        <v>8438926871</v>
      </c>
      <c r="L223" s="29">
        <v>833333000</v>
      </c>
      <c r="M223" s="29">
        <v>30147081000</v>
      </c>
      <c r="N223" s="29">
        <v>2402892000</v>
      </c>
      <c r="O223" s="29">
        <v>188232000</v>
      </c>
      <c r="P223" s="29">
        <v>1514620143</v>
      </c>
      <c r="Q223" s="29">
        <v>660923263</v>
      </c>
      <c r="R223" s="29">
        <f>872356191+54575391</f>
        <v>926931582</v>
      </c>
      <c r="S223" s="29">
        <v>925508742</v>
      </c>
      <c r="T223" s="29">
        <f t="shared" si="5"/>
        <v>1422840</v>
      </c>
      <c r="U223" s="99">
        <v>42460</v>
      </c>
    </row>
    <row r="224" spans="2:21" x14ac:dyDescent="0.25">
      <c r="B224" s="5">
        <v>75</v>
      </c>
      <c r="C224" s="29">
        <v>1012</v>
      </c>
      <c r="D224" s="29">
        <v>69</v>
      </c>
      <c r="E224" s="29">
        <v>1030</v>
      </c>
      <c r="F224" s="29">
        <v>56</v>
      </c>
      <c r="G224" s="29">
        <v>35432772274</v>
      </c>
      <c r="H224" s="29">
        <v>34229331211</v>
      </c>
      <c r="I224" s="29">
        <v>3004360000</v>
      </c>
      <c r="J224" s="29">
        <v>23085217700</v>
      </c>
      <c r="K224" s="29">
        <f>27439938550-J224</f>
        <v>4354720850</v>
      </c>
      <c r="L224" s="29">
        <v>8326000</v>
      </c>
      <c r="M224" s="29">
        <v>20291516750</v>
      </c>
      <c r="N224" s="29">
        <v>1963484000</v>
      </c>
      <c r="O224" s="29">
        <v>1040060000</v>
      </c>
      <c r="P224" s="29">
        <v>2838012600</v>
      </c>
      <c r="Q224" s="29">
        <v>37396650</v>
      </c>
      <c r="R224" s="29">
        <v>1360301256</v>
      </c>
      <c r="S224" s="29">
        <v>1257609632</v>
      </c>
      <c r="T224" s="29">
        <f t="shared" si="5"/>
        <v>102691624</v>
      </c>
      <c r="U224" s="99">
        <v>42460</v>
      </c>
    </row>
    <row r="225" spans="2:21" x14ac:dyDescent="0.25">
      <c r="B225" s="5">
        <v>81</v>
      </c>
      <c r="C225" s="29">
        <v>368</v>
      </c>
      <c r="D225" s="29">
        <v>5</v>
      </c>
      <c r="E225" s="29">
        <v>333</v>
      </c>
      <c r="F225" s="29">
        <v>6</v>
      </c>
      <c r="G225" s="29">
        <v>8409093118</v>
      </c>
      <c r="H225" s="29">
        <v>8138199345</v>
      </c>
      <c r="I225" s="29">
        <v>931830000</v>
      </c>
      <c r="J225" s="29">
        <v>5915359800</v>
      </c>
      <c r="K225" s="29">
        <v>800586800</v>
      </c>
      <c r="L225" s="29">
        <v>0</v>
      </c>
      <c r="M225" s="29">
        <v>5123221900</v>
      </c>
      <c r="N225" s="29">
        <v>1255937300</v>
      </c>
      <c r="O225" s="29">
        <v>51657700</v>
      </c>
      <c r="P225" s="29">
        <v>177949455</v>
      </c>
      <c r="Q225" s="29">
        <v>37593637</v>
      </c>
      <c r="R225" s="29">
        <v>188746563</v>
      </c>
      <c r="S225" s="29">
        <v>188572840</v>
      </c>
      <c r="T225" s="29">
        <f t="shared" si="5"/>
        <v>173723</v>
      </c>
      <c r="U225" s="110">
        <v>42429</v>
      </c>
    </row>
    <row r="226" spans="2:21" x14ac:dyDescent="0.25">
      <c r="B226" s="5">
        <v>82</v>
      </c>
      <c r="C226" s="29">
        <v>477</v>
      </c>
      <c r="D226" s="29"/>
      <c r="E226" s="29">
        <v>567</v>
      </c>
      <c r="F226" s="29"/>
      <c r="G226" s="29">
        <v>3315543883</v>
      </c>
      <c r="H226" s="29">
        <v>2720544649</v>
      </c>
      <c r="I226" s="29">
        <v>296859550</v>
      </c>
      <c r="J226" s="29">
        <v>1311749100</v>
      </c>
      <c r="K226" s="29">
        <v>1094009435</v>
      </c>
      <c r="L226" s="29">
        <v>229580600</v>
      </c>
      <c r="M226" s="29">
        <v>2206197800</v>
      </c>
      <c r="N226" s="84">
        <v>112489650</v>
      </c>
      <c r="O226" s="84">
        <v>0</v>
      </c>
      <c r="P226" s="29">
        <v>80601569</v>
      </c>
      <c r="Q226" s="29">
        <v>112066496</v>
      </c>
      <c r="R226" s="29">
        <v>79336358</v>
      </c>
      <c r="S226" s="29">
        <v>73620263</v>
      </c>
      <c r="T226" s="29">
        <f t="shared" si="5"/>
        <v>5716095</v>
      </c>
      <c r="U226" s="99">
        <v>42460</v>
      </c>
    </row>
    <row r="227" spans="2:21" x14ac:dyDescent="0.25">
      <c r="B227" s="5">
        <v>1</v>
      </c>
      <c r="C227" s="29">
        <v>27228</v>
      </c>
      <c r="D227" s="29">
        <v>0</v>
      </c>
      <c r="E227" s="29">
        <v>23849</v>
      </c>
      <c r="F227" s="29">
        <v>0</v>
      </c>
      <c r="G227" s="29">
        <v>528035044663</v>
      </c>
      <c r="H227" s="29">
        <v>479748391823</v>
      </c>
      <c r="I227" s="29">
        <v>83676064875</v>
      </c>
      <c r="J227" s="29">
        <v>323401996351</v>
      </c>
      <c r="K227" s="29">
        <v>78197103260</v>
      </c>
      <c r="L227" s="29">
        <v>10243099200</v>
      </c>
      <c r="M227" s="29">
        <v>410147229695</v>
      </c>
      <c r="N227" s="84">
        <v>22975925323</v>
      </c>
      <c r="O227" s="84">
        <v>8693565625</v>
      </c>
      <c r="P227" s="29">
        <v>5127395868</v>
      </c>
      <c r="Q227" s="29">
        <v>1289244118</v>
      </c>
      <c r="R227" s="29">
        <v>64698321293</v>
      </c>
      <c r="S227" s="29">
        <v>61186295405</v>
      </c>
      <c r="T227" s="29">
        <f t="shared" si="5"/>
        <v>3512025888</v>
      </c>
      <c r="U227" s="99">
        <v>42369</v>
      </c>
    </row>
    <row r="228" spans="2:21" x14ac:dyDescent="0.25">
      <c r="B228" s="5">
        <v>7</v>
      </c>
      <c r="C228" s="29">
        <v>3235</v>
      </c>
      <c r="D228" s="29">
        <v>586</v>
      </c>
      <c r="E228" s="29">
        <v>3431</v>
      </c>
      <c r="F228" s="29">
        <v>551</v>
      </c>
      <c r="G228" s="29">
        <v>85186845850</v>
      </c>
      <c r="H228" s="29">
        <v>79795111550</v>
      </c>
      <c r="I228" s="29">
        <v>7421569550</v>
      </c>
      <c r="J228" s="29">
        <v>60370272250</v>
      </c>
      <c r="K228" s="29">
        <v>13097423400</v>
      </c>
      <c r="L228" s="29">
        <v>0</v>
      </c>
      <c r="M228" s="29">
        <v>69370478450</v>
      </c>
      <c r="N228" s="84">
        <v>2816223375</v>
      </c>
      <c r="O228" s="84">
        <v>2579586600</v>
      </c>
      <c r="P228" s="29">
        <v>805067900</v>
      </c>
      <c r="Q228" s="29">
        <v>4000000</v>
      </c>
      <c r="R228" s="29">
        <v>10528519350</v>
      </c>
      <c r="S228" s="29">
        <v>10229882100</v>
      </c>
      <c r="T228" s="29">
        <f t="shared" si="5"/>
        <v>298637250</v>
      </c>
      <c r="U228" s="99">
        <v>42369</v>
      </c>
    </row>
    <row r="229" spans="2:21" x14ac:dyDescent="0.25">
      <c r="B229" s="73">
        <v>12</v>
      </c>
      <c r="C229" s="27">
        <v>6804</v>
      </c>
      <c r="D229" s="27">
        <v>0</v>
      </c>
      <c r="E229" s="27">
        <v>4853</v>
      </c>
      <c r="F229" s="27">
        <v>0</v>
      </c>
      <c r="G229" s="27">
        <v>80340814641</v>
      </c>
      <c r="H229" s="27">
        <v>73118364723</v>
      </c>
      <c r="I229" s="27">
        <v>12632554000</v>
      </c>
      <c r="J229" s="27">
        <v>49882407141</v>
      </c>
      <c r="K229" s="27">
        <f>56833136527-J229</f>
        <v>6950729386</v>
      </c>
      <c r="L229" s="27">
        <f>422750000+622750000</f>
        <v>1045500000</v>
      </c>
      <c r="M229" s="27">
        <v>62282307850</v>
      </c>
      <c r="N229" s="111">
        <f>9860613350+2405267350</f>
        <v>12265880700</v>
      </c>
      <c r="O229" s="111">
        <v>2916611600</v>
      </c>
      <c r="P229" s="27">
        <v>3074244227</v>
      </c>
      <c r="Q229" s="27">
        <v>3009286665</v>
      </c>
      <c r="R229" s="27">
        <f>1272994257+1598026</f>
        <v>1274592283</v>
      </c>
      <c r="S229" s="27">
        <v>1410492985</v>
      </c>
      <c r="T229" s="27">
        <f t="shared" si="5"/>
        <v>-135900702</v>
      </c>
      <c r="U229" s="110">
        <v>42429</v>
      </c>
    </row>
    <row r="230" spans="2:21" x14ac:dyDescent="0.25">
      <c r="B230" s="5">
        <v>14</v>
      </c>
      <c r="C230" s="29">
        <v>10396</v>
      </c>
      <c r="D230" s="29">
        <v>461</v>
      </c>
      <c r="E230" s="29">
        <v>6385</v>
      </c>
      <c r="F230" s="29">
        <v>447</v>
      </c>
      <c r="G230" s="29">
        <v>184861983363</v>
      </c>
      <c r="H230" s="29">
        <v>157752962444</v>
      </c>
      <c r="I230" s="29">
        <v>22315554250</v>
      </c>
      <c r="J230" s="29">
        <v>98898026039</v>
      </c>
      <c r="K230" s="29">
        <v>44697748692</v>
      </c>
      <c r="L230" s="29">
        <v>1250000000</v>
      </c>
      <c r="M230" s="29">
        <v>137676010800</v>
      </c>
      <c r="N230" s="84">
        <v>4218926800</v>
      </c>
      <c r="O230" s="84">
        <v>1632349400</v>
      </c>
      <c r="P230" s="29">
        <v>5069522655</v>
      </c>
      <c r="Q230" s="29">
        <v>6579051176</v>
      </c>
      <c r="R230" s="29">
        <v>24274968701</v>
      </c>
      <c r="S230" s="29">
        <v>24166843480</v>
      </c>
      <c r="T230" s="29">
        <f t="shared" si="5"/>
        <v>108125221</v>
      </c>
      <c r="U230" s="99">
        <v>42369</v>
      </c>
    </row>
    <row r="231" spans="2:21" x14ac:dyDescent="0.25">
      <c r="B231" s="5">
        <v>26</v>
      </c>
      <c r="C231" s="29">
        <v>1652</v>
      </c>
      <c r="D231" s="29">
        <v>0</v>
      </c>
      <c r="E231" s="29">
        <v>821</v>
      </c>
      <c r="F231" s="29">
        <v>0</v>
      </c>
      <c r="G231" s="29">
        <v>18970882095</v>
      </c>
      <c r="H231" s="29">
        <f>298253567+5955342+5633600+17578159961+614400000+14351500+66470000</f>
        <v>18583223970</v>
      </c>
      <c r="I231" s="29">
        <v>2769018850</v>
      </c>
      <c r="J231" s="29">
        <v>11832707324</v>
      </c>
      <c r="K231" s="29">
        <v>810924955</v>
      </c>
      <c r="L231" s="29">
        <v>621250000</v>
      </c>
      <c r="M231" s="29">
        <v>17578159961</v>
      </c>
      <c r="N231" s="29">
        <v>1304038700</v>
      </c>
      <c r="O231" s="29">
        <v>3296768800</v>
      </c>
      <c r="P231" s="29">
        <v>592472316</v>
      </c>
      <c r="Q231" s="29">
        <v>333270210</v>
      </c>
      <c r="R231" s="29">
        <v>1221540915</v>
      </c>
      <c r="S231" s="29">
        <v>975210795</v>
      </c>
      <c r="T231" s="29">
        <f t="shared" si="5"/>
        <v>246330120</v>
      </c>
      <c r="U231" s="99">
        <v>42369</v>
      </c>
    </row>
    <row r="232" spans="2:21" x14ac:dyDescent="0.25">
      <c r="B232" s="5">
        <v>35</v>
      </c>
      <c r="C232" s="29">
        <v>218</v>
      </c>
      <c r="D232" s="29"/>
      <c r="E232" s="29">
        <v>263</v>
      </c>
      <c r="F232" s="29"/>
      <c r="G232" s="29">
        <v>9923089106</v>
      </c>
      <c r="H232" s="29">
        <v>9888164596</v>
      </c>
      <c r="I232" s="29">
        <v>836332950</v>
      </c>
      <c r="J232" s="29">
        <v>5027390100</v>
      </c>
      <c r="K232" s="29">
        <v>3011411350</v>
      </c>
      <c r="L232" s="29">
        <v>70000000</v>
      </c>
      <c r="M232" s="29">
        <v>8698499075</v>
      </c>
      <c r="N232" s="29">
        <v>11200500</v>
      </c>
      <c r="O232" s="29">
        <v>8530000</v>
      </c>
      <c r="P232" s="29">
        <v>42511170</v>
      </c>
      <c r="Q232" s="29">
        <v>109447970</v>
      </c>
      <c r="R232" s="29">
        <v>1233778725</v>
      </c>
      <c r="S232" s="29">
        <v>613880439</v>
      </c>
      <c r="T232" s="29">
        <f t="shared" si="5"/>
        <v>619898286</v>
      </c>
      <c r="U232" s="99">
        <v>42369</v>
      </c>
    </row>
    <row r="233" spans="2:21" x14ac:dyDescent="0.25">
      <c r="B233" s="5">
        <v>40</v>
      </c>
      <c r="C233" s="29">
        <v>10824</v>
      </c>
      <c r="D233" s="29">
        <v>0</v>
      </c>
      <c r="E233" s="29">
        <v>10943</v>
      </c>
      <c r="F233" s="29">
        <v>0</v>
      </c>
      <c r="G233" s="29">
        <v>239097531714.05338</v>
      </c>
      <c r="H233" s="29">
        <v>204992938655.72</v>
      </c>
      <c r="I233" s="29">
        <v>35486365300</v>
      </c>
      <c r="J233" s="29">
        <v>139916299135</v>
      </c>
      <c r="K233" s="29">
        <v>45064312295.5</v>
      </c>
      <c r="L233" s="29">
        <v>58328800</v>
      </c>
      <c r="M233" s="29">
        <v>175068101700</v>
      </c>
      <c r="N233" s="29">
        <v>36114148200</v>
      </c>
      <c r="O233" s="29">
        <v>37301257300</v>
      </c>
      <c r="P233" s="29">
        <v>8041798964.1260004</v>
      </c>
      <c r="Q233" s="29">
        <v>3778035020.9660001</v>
      </c>
      <c r="R233" s="29">
        <v>27791644602.280003</v>
      </c>
      <c r="S233" s="29">
        <v>27652480018.170002</v>
      </c>
      <c r="T233" s="29">
        <f t="shared" si="5"/>
        <v>139164584.11000061</v>
      </c>
      <c r="U233" s="99">
        <v>42369</v>
      </c>
    </row>
    <row r="234" spans="2:21" x14ac:dyDescent="0.25">
      <c r="B234" s="5">
        <v>46</v>
      </c>
      <c r="C234" s="29">
        <v>2085</v>
      </c>
      <c r="D234" s="29">
        <v>70</v>
      </c>
      <c r="E234" s="29">
        <v>1379</v>
      </c>
      <c r="F234" s="29">
        <v>37</v>
      </c>
      <c r="G234" s="29">
        <v>37283379859.269997</v>
      </c>
      <c r="H234" s="29">
        <v>32080786097.060001</v>
      </c>
      <c r="I234" s="29">
        <v>4084695397</v>
      </c>
      <c r="J234" s="29">
        <v>25367226424</v>
      </c>
      <c r="K234" s="29">
        <v>2701134926</v>
      </c>
      <c r="L234" s="29">
        <v>3769222159</v>
      </c>
      <c r="M234" s="29">
        <v>27163724900</v>
      </c>
      <c r="N234" s="29">
        <v>1865098000</v>
      </c>
      <c r="O234" s="29">
        <v>652257450</v>
      </c>
      <c r="P234" s="29">
        <v>719238781</v>
      </c>
      <c r="Q234" s="29">
        <v>243328713</v>
      </c>
      <c r="R234" s="29">
        <v>4813172778.8199997</v>
      </c>
      <c r="S234" s="29">
        <v>4812289070.7599993</v>
      </c>
      <c r="T234" s="29">
        <f t="shared" si="5"/>
        <v>883708.06000041962</v>
      </c>
      <c r="U234" s="99">
        <v>42369</v>
      </c>
    </row>
    <row r="235" spans="2:21" x14ac:dyDescent="0.25">
      <c r="B235" s="5">
        <v>52</v>
      </c>
      <c r="C235" s="29">
        <v>2759</v>
      </c>
      <c r="D235" s="29">
        <v>160</v>
      </c>
      <c r="E235" s="29">
        <v>2685</v>
      </c>
      <c r="F235" s="29">
        <v>117</v>
      </c>
      <c r="G235" s="29">
        <v>42481576721</v>
      </c>
      <c r="H235" s="29">
        <v>31266377881</v>
      </c>
      <c r="I235" s="29">
        <v>6357714000</v>
      </c>
      <c r="J235" s="29">
        <v>19161528336</v>
      </c>
      <c r="K235" s="29">
        <v>2367521290</v>
      </c>
      <c r="L235" s="29">
        <v>4114877600</v>
      </c>
      <c r="M235" s="29">
        <v>30393836136</v>
      </c>
      <c r="N235" s="29">
        <v>11274927480</v>
      </c>
      <c r="O235" s="29">
        <v>8139350620</v>
      </c>
      <c r="P235" s="29">
        <v>869432925</v>
      </c>
      <c r="Q235" s="29">
        <v>1458378496</v>
      </c>
      <c r="R235" s="29">
        <v>3555178592</v>
      </c>
      <c r="S235" s="29">
        <v>3835445608</v>
      </c>
      <c r="T235" s="29">
        <f t="shared" si="5"/>
        <v>-280267016</v>
      </c>
      <c r="U235" s="99">
        <v>42369</v>
      </c>
    </row>
    <row r="236" spans="2:21" x14ac:dyDescent="0.25">
      <c r="B236" s="5">
        <v>53</v>
      </c>
      <c r="C236" s="29">
        <v>10924</v>
      </c>
      <c r="D236" s="29">
        <v>0</v>
      </c>
      <c r="E236" s="29">
        <v>9568</v>
      </c>
      <c r="F236" s="29">
        <v>0</v>
      </c>
      <c r="G236" s="29">
        <v>248049812122</v>
      </c>
      <c r="H236" s="29">
        <v>236727735765</v>
      </c>
      <c r="I236" s="29">
        <v>33756399800</v>
      </c>
      <c r="J236" s="29">
        <v>147456052425</v>
      </c>
      <c r="K236" s="29">
        <v>36493789135</v>
      </c>
      <c r="L236" s="29">
        <v>0</v>
      </c>
      <c r="M236" s="29">
        <v>172722999000</v>
      </c>
      <c r="N236" s="29">
        <v>22542842300</v>
      </c>
      <c r="O236" s="29">
        <v>9658490550</v>
      </c>
      <c r="P236" s="29">
        <v>10093417687</v>
      </c>
      <c r="Q236" s="29">
        <v>3573763785</v>
      </c>
      <c r="R236" s="29">
        <v>19556678180</v>
      </c>
      <c r="S236" s="29">
        <v>18516412057</v>
      </c>
      <c r="T236" s="29">
        <f t="shared" si="5"/>
        <v>1040266123</v>
      </c>
      <c r="U236" s="99">
        <v>42369</v>
      </c>
    </row>
    <row r="237" spans="2:21" x14ac:dyDescent="0.25">
      <c r="B237" s="5">
        <v>54</v>
      </c>
      <c r="C237" s="29">
        <v>4814</v>
      </c>
      <c r="D237" s="29">
        <v>414</v>
      </c>
      <c r="E237" s="29">
        <v>3652</v>
      </c>
      <c r="F237" s="29">
        <v>370</v>
      </c>
      <c r="G237" s="29">
        <v>103859303440.75999</v>
      </c>
      <c r="H237" s="29">
        <v>99573627321.759995</v>
      </c>
      <c r="I237" s="29">
        <v>12649089300</v>
      </c>
      <c r="J237" s="29">
        <v>65118934058</v>
      </c>
      <c r="K237" s="29">
        <v>17974113322</v>
      </c>
      <c r="L237" s="29">
        <v>284439600</v>
      </c>
      <c r="M237" s="29">
        <v>85677137302</v>
      </c>
      <c r="N237" s="29">
        <v>17781914826</v>
      </c>
      <c r="O237" s="29">
        <v>8892733100</v>
      </c>
      <c r="P237" s="29">
        <v>2743875318</v>
      </c>
      <c r="Q237" s="29">
        <v>1324286099</v>
      </c>
      <c r="R237" s="29">
        <v>11162761629</v>
      </c>
      <c r="S237" s="29">
        <v>11083834655.24</v>
      </c>
      <c r="T237" s="29">
        <f t="shared" ref="T237:T300" si="6">R237-S237</f>
        <v>78926973.760000229</v>
      </c>
      <c r="U237" s="99">
        <v>42369</v>
      </c>
    </row>
    <row r="238" spans="2:21" x14ac:dyDescent="0.25">
      <c r="B238" s="5">
        <v>59</v>
      </c>
      <c r="C238" s="29">
        <v>5494</v>
      </c>
      <c r="D238" s="29">
        <v>0</v>
      </c>
      <c r="E238" s="29">
        <v>5585</v>
      </c>
      <c r="F238" s="29">
        <v>0</v>
      </c>
      <c r="G238" s="29">
        <v>155874537233</v>
      </c>
      <c r="H238" s="29">
        <v>146720484796</v>
      </c>
      <c r="I238" s="29">
        <v>17332084400</v>
      </c>
      <c r="J238" s="29">
        <v>73128832500</v>
      </c>
      <c r="K238" s="29">
        <v>69871997999</v>
      </c>
      <c r="L238" s="29">
        <v>0</v>
      </c>
      <c r="M238" s="29">
        <v>112138416230</v>
      </c>
      <c r="N238" s="29">
        <v>14328688309</v>
      </c>
      <c r="O238" s="29">
        <v>13165857750</v>
      </c>
      <c r="P238" s="29">
        <v>4791681118</v>
      </c>
      <c r="Q238" s="29">
        <v>315260337</v>
      </c>
      <c r="R238" s="29">
        <v>19379298656</v>
      </c>
      <c r="S238" s="29">
        <v>19100714212</v>
      </c>
      <c r="T238" s="29">
        <f t="shared" si="6"/>
        <v>278584444</v>
      </c>
      <c r="U238" s="99">
        <v>42369</v>
      </c>
    </row>
    <row r="239" spans="2:21" x14ac:dyDescent="0.25">
      <c r="B239" s="5">
        <v>69</v>
      </c>
      <c r="C239" s="29">
        <v>2782</v>
      </c>
      <c r="D239" s="29">
        <v>0</v>
      </c>
      <c r="E239" s="29">
        <v>2553</v>
      </c>
      <c r="F239" s="29">
        <v>0</v>
      </c>
      <c r="G239" s="29">
        <v>43980568819</v>
      </c>
      <c r="H239" s="29">
        <v>41190942019</v>
      </c>
      <c r="I239" s="29">
        <v>3806618700</v>
      </c>
      <c r="J239" s="29">
        <v>24451195592</v>
      </c>
      <c r="K239" s="29">
        <v>10776170903</v>
      </c>
      <c r="L239" s="29">
        <v>1300000</v>
      </c>
      <c r="M239" s="29">
        <v>31664164450</v>
      </c>
      <c r="N239" s="29">
        <v>5112515600</v>
      </c>
      <c r="O239" s="29">
        <v>26349300</v>
      </c>
      <c r="P239" s="29">
        <v>1168629918</v>
      </c>
      <c r="Q239" s="29">
        <v>329164684</v>
      </c>
      <c r="R239" s="29">
        <v>4815438585</v>
      </c>
      <c r="S239" s="29">
        <v>4798901250</v>
      </c>
      <c r="T239" s="29">
        <f t="shared" si="6"/>
        <v>16537335</v>
      </c>
      <c r="U239" s="99">
        <v>42369</v>
      </c>
    </row>
    <row r="240" spans="2:21" x14ac:dyDescent="0.25">
      <c r="B240" s="5">
        <v>70</v>
      </c>
      <c r="C240" s="29">
        <v>730</v>
      </c>
      <c r="D240" s="29">
        <v>0</v>
      </c>
      <c r="E240" s="29">
        <v>602</v>
      </c>
      <c r="F240" s="29">
        <v>0</v>
      </c>
      <c r="G240" s="29">
        <v>10450563326</v>
      </c>
      <c r="H240" s="29">
        <v>7997569676</v>
      </c>
      <c r="I240" s="29">
        <v>1257907000</v>
      </c>
      <c r="J240" s="29">
        <v>6933953000</v>
      </c>
      <c r="K240" s="29">
        <v>1320592994</v>
      </c>
      <c r="L240" s="29">
        <v>55187050</v>
      </c>
      <c r="M240" s="29">
        <v>7198492700</v>
      </c>
      <c r="N240" s="84">
        <v>679894100</v>
      </c>
      <c r="O240" s="84">
        <v>2014750600</v>
      </c>
      <c r="P240" s="29">
        <v>138403423</v>
      </c>
      <c r="Q240" s="29">
        <v>3098999</v>
      </c>
      <c r="R240" s="29">
        <v>1094241050</v>
      </c>
      <c r="S240" s="29">
        <v>1091803750</v>
      </c>
      <c r="T240" s="29">
        <f t="shared" si="6"/>
        <v>2437300</v>
      </c>
      <c r="U240" s="99">
        <v>42369</v>
      </c>
    </row>
    <row r="241" spans="2:21" x14ac:dyDescent="0.25">
      <c r="B241" s="5">
        <v>73</v>
      </c>
      <c r="C241" s="29">
        <v>4176</v>
      </c>
      <c r="D241" s="29">
        <v>0</v>
      </c>
      <c r="E241" s="29">
        <v>4779</v>
      </c>
      <c r="F241" s="29">
        <v>0</v>
      </c>
      <c r="G241" s="29">
        <v>139474028279</v>
      </c>
      <c r="H241" s="29">
        <v>135650767545</v>
      </c>
      <c r="I241" s="29">
        <v>18352870000</v>
      </c>
      <c r="J241" s="29">
        <v>65674619023</v>
      </c>
      <c r="K241" s="29">
        <v>35821621088</v>
      </c>
      <c r="L241" s="29">
        <v>56377572</v>
      </c>
      <c r="M241" s="29">
        <v>108581749330</v>
      </c>
      <c r="N241" s="84">
        <v>22455217691</v>
      </c>
      <c r="O241" s="84">
        <v>2216756268</v>
      </c>
      <c r="P241" s="29">
        <v>3353191973</v>
      </c>
      <c r="Q241" s="29">
        <v>2641080650</v>
      </c>
      <c r="R241" s="29">
        <v>17897711860</v>
      </c>
      <c r="S241" s="29">
        <v>17586995527</v>
      </c>
      <c r="T241" s="29">
        <f t="shared" si="6"/>
        <v>310716333</v>
      </c>
      <c r="U241" s="99">
        <v>42369</v>
      </c>
    </row>
    <row r="242" spans="2:21" x14ac:dyDescent="0.25">
      <c r="B242" s="5">
        <v>76</v>
      </c>
      <c r="C242" s="29">
        <v>1152</v>
      </c>
      <c r="D242" s="29"/>
      <c r="E242" s="29">
        <v>940</v>
      </c>
      <c r="F242" s="29"/>
      <c r="G242" s="29">
        <v>35478362390</v>
      </c>
      <c r="H242" s="29">
        <v>35985689360</v>
      </c>
      <c r="I242" s="29">
        <v>2725230000</v>
      </c>
      <c r="J242" s="29">
        <v>19038077100</v>
      </c>
      <c r="K242" s="29">
        <v>11687337028</v>
      </c>
      <c r="L242" s="29">
        <v>0</v>
      </c>
      <c r="M242" s="29">
        <v>27269220567</v>
      </c>
      <c r="N242" s="84">
        <v>63522424</v>
      </c>
      <c r="O242" s="84">
        <v>13903639</v>
      </c>
      <c r="P242" s="100">
        <v>546216320</v>
      </c>
      <c r="Q242" s="29">
        <v>183518331</v>
      </c>
      <c r="R242" s="29">
        <v>4195491161</v>
      </c>
      <c r="S242" s="29">
        <v>3791160552</v>
      </c>
      <c r="T242" s="29">
        <f t="shared" si="6"/>
        <v>404330609</v>
      </c>
      <c r="U242" s="99">
        <v>42369</v>
      </c>
    </row>
    <row r="243" spans="2:21" x14ac:dyDescent="0.25">
      <c r="B243" s="5">
        <v>78</v>
      </c>
      <c r="C243" s="29">
        <v>487</v>
      </c>
      <c r="D243" s="29">
        <v>0</v>
      </c>
      <c r="E243" s="29">
        <v>652</v>
      </c>
      <c r="F243" s="29">
        <v>0</v>
      </c>
      <c r="G243" s="29">
        <v>15212932014</v>
      </c>
      <c r="H243" s="29">
        <v>14971343814</v>
      </c>
      <c r="I243" s="29">
        <v>1376585000</v>
      </c>
      <c r="J243" s="29">
        <v>4504718350</v>
      </c>
      <c r="K243" s="29">
        <v>7019083843</v>
      </c>
      <c r="L243" s="29">
        <v>283580850</v>
      </c>
      <c r="M243" s="29">
        <v>11552084380</v>
      </c>
      <c r="N243" s="84">
        <v>276794000</v>
      </c>
      <c r="O243" s="84">
        <v>65739600</v>
      </c>
      <c r="P243" s="29">
        <v>406868884</v>
      </c>
      <c r="Q243" s="29">
        <v>432037234</v>
      </c>
      <c r="R243" s="29">
        <v>1725651032</v>
      </c>
      <c r="S243" s="29">
        <v>1528600367</v>
      </c>
      <c r="T243" s="29">
        <f t="shared" si="6"/>
        <v>197050665</v>
      </c>
      <c r="U243" s="99">
        <v>42369</v>
      </c>
    </row>
    <row r="244" spans="2:21" x14ac:dyDescent="0.25">
      <c r="B244" s="5">
        <v>79</v>
      </c>
      <c r="C244" s="29">
        <v>277</v>
      </c>
      <c r="D244" s="29">
        <v>21</v>
      </c>
      <c r="E244" s="29">
        <v>253</v>
      </c>
      <c r="F244" s="29">
        <v>23</v>
      </c>
      <c r="G244" s="29">
        <v>10402889843</v>
      </c>
      <c r="H244" s="29">
        <v>10349715043</v>
      </c>
      <c r="I244" s="29">
        <v>822597000</v>
      </c>
      <c r="J244" s="29">
        <v>5283274000</v>
      </c>
      <c r="K244" s="29">
        <v>3308562100</v>
      </c>
      <c r="L244" s="29">
        <v>0</v>
      </c>
      <c r="M244" s="29">
        <v>6140704400</v>
      </c>
      <c r="N244" s="84">
        <v>197850200</v>
      </c>
      <c r="O244" s="84">
        <v>470136100</v>
      </c>
      <c r="P244" s="29">
        <v>258854756</v>
      </c>
      <c r="Q244" s="29">
        <v>114765750</v>
      </c>
      <c r="R244" s="29">
        <v>1465780941</v>
      </c>
      <c r="S244" s="29">
        <v>1141892804</v>
      </c>
      <c r="T244" s="29">
        <f t="shared" si="6"/>
        <v>323888137</v>
      </c>
      <c r="U244" s="99">
        <v>42369</v>
      </c>
    </row>
    <row r="245" spans="2:21" x14ac:dyDescent="0.25">
      <c r="B245" s="5">
        <v>80</v>
      </c>
      <c r="C245" s="29">
        <v>185</v>
      </c>
      <c r="D245" s="29">
        <v>0</v>
      </c>
      <c r="E245" s="29">
        <v>111</v>
      </c>
      <c r="F245" s="29">
        <v>0</v>
      </c>
      <c r="G245" s="29">
        <v>1380813941.5599999</v>
      </c>
      <c r="H245" s="29">
        <v>1330382730.5599999</v>
      </c>
      <c r="I245" s="29">
        <v>174375260.5</v>
      </c>
      <c r="J245" s="29">
        <v>228669908.5</v>
      </c>
      <c r="K245" s="29">
        <v>601275977.89999998</v>
      </c>
      <c r="L245" s="29">
        <v>0</v>
      </c>
      <c r="M245" s="29">
        <v>515435029.69499993</v>
      </c>
      <c r="N245" s="84">
        <v>81566866.359999999</v>
      </c>
      <c r="O245" s="84">
        <v>0</v>
      </c>
      <c r="P245" s="29">
        <v>214864524.25</v>
      </c>
      <c r="Q245" s="29">
        <v>4192550</v>
      </c>
      <c r="R245" s="29">
        <v>280623267.98000002</v>
      </c>
      <c r="S245" s="29">
        <v>311587913.5</v>
      </c>
      <c r="T245" s="29">
        <f t="shared" si="6"/>
        <v>-30964645.519999981</v>
      </c>
      <c r="U245" s="99">
        <v>42369</v>
      </c>
    </row>
    <row r="246" spans="2:21" x14ac:dyDescent="0.25">
      <c r="B246" s="5">
        <v>83</v>
      </c>
      <c r="C246" s="29">
        <v>785</v>
      </c>
      <c r="D246" s="29">
        <v>0</v>
      </c>
      <c r="E246" s="29">
        <v>967</v>
      </c>
      <c r="F246" s="29">
        <v>0</v>
      </c>
      <c r="G246" s="29">
        <v>6015398957</v>
      </c>
      <c r="H246" s="29">
        <f>114718667+571764790+56744218+1000000000+300000000+62291600+252620100+1474344200+19518000+48000000+1787108900+97543300+35646100+150000000+30000000</f>
        <v>6000299875</v>
      </c>
      <c r="I246" s="29">
        <v>1040260000</v>
      </c>
      <c r="J246" s="29">
        <v>4270072492</v>
      </c>
      <c r="K246" s="29">
        <v>234263298</v>
      </c>
      <c r="L246" s="29">
        <v>0</v>
      </c>
      <c r="M246" s="29">
        <v>3714780600</v>
      </c>
      <c r="N246" s="84">
        <v>316999300</v>
      </c>
      <c r="O246" s="84">
        <v>117183300</v>
      </c>
      <c r="P246" s="29">
        <v>4370277</v>
      </c>
      <c r="Q246" s="29">
        <v>6837537</v>
      </c>
      <c r="R246" s="29">
        <v>779178832</v>
      </c>
      <c r="S246" s="29">
        <v>862561145</v>
      </c>
      <c r="T246" s="29">
        <f t="shared" si="6"/>
        <v>-83382313</v>
      </c>
      <c r="U246" s="99">
        <v>42369</v>
      </c>
    </row>
    <row r="247" spans="2:21" x14ac:dyDescent="0.25">
      <c r="B247" s="5">
        <v>84</v>
      </c>
      <c r="C247" s="29">
        <v>411</v>
      </c>
      <c r="D247" s="29">
        <v>0</v>
      </c>
      <c r="E247" s="29">
        <v>558</v>
      </c>
      <c r="F247" s="29">
        <v>0</v>
      </c>
      <c r="G247" s="29">
        <v>5945449200</v>
      </c>
      <c r="H247" s="29">
        <f>31359300+26226005+62260697+127113949+74621366+500000000+35880250+101953800+100791000+106119400+2462956800+1593882700+140000000+31850000</f>
        <v>5395015267</v>
      </c>
      <c r="I247" s="29">
        <v>480151396</v>
      </c>
      <c r="J247" s="29">
        <v>3925414929</v>
      </c>
      <c r="K247" s="29">
        <v>780184381</v>
      </c>
      <c r="L247" s="29">
        <v>420000000</v>
      </c>
      <c r="M247" s="29">
        <v>4177458900</v>
      </c>
      <c r="N247" s="84">
        <v>351527600</v>
      </c>
      <c r="O247" s="84">
        <v>16992500</v>
      </c>
      <c r="P247" s="29">
        <v>112472612</v>
      </c>
      <c r="Q247" s="29">
        <v>65669022</v>
      </c>
      <c r="R247" s="29">
        <v>879166271</v>
      </c>
      <c r="S247" s="29">
        <v>871891463</v>
      </c>
      <c r="T247" s="29">
        <f t="shared" si="6"/>
        <v>7274808</v>
      </c>
      <c r="U247" s="99">
        <v>42369</v>
      </c>
    </row>
    <row r="248" spans="2:21" x14ac:dyDescent="0.25">
      <c r="B248" s="5">
        <v>39</v>
      </c>
      <c r="C248" s="29">
        <v>23430</v>
      </c>
      <c r="D248" s="29">
        <v>1604</v>
      </c>
      <c r="E248" s="29">
        <v>20368</v>
      </c>
      <c r="F248" s="29">
        <v>1310</v>
      </c>
      <c r="G248" s="29">
        <v>923573937554</v>
      </c>
      <c r="H248" s="29">
        <v>850334436559</v>
      </c>
      <c r="I248" s="29">
        <v>78979039103</v>
      </c>
      <c r="J248" s="29">
        <v>653541907393</v>
      </c>
      <c r="K248" s="29">
        <v>48669676775</v>
      </c>
      <c r="L248" s="29">
        <v>4400000000</v>
      </c>
      <c r="M248" s="29">
        <v>711990030783</v>
      </c>
      <c r="N248" s="29">
        <v>45176171617</v>
      </c>
      <c r="O248" s="29">
        <v>37889869094</v>
      </c>
      <c r="P248" s="29">
        <v>15936157478</v>
      </c>
      <c r="Q248" s="29">
        <v>4767931900</v>
      </c>
      <c r="R248" s="29">
        <v>104791999374.60001</v>
      </c>
      <c r="S248" s="29">
        <v>103587406939</v>
      </c>
      <c r="T248" s="29">
        <f t="shared" si="6"/>
        <v>1204592435.6000061</v>
      </c>
      <c r="U248" s="99">
        <v>42369</v>
      </c>
    </row>
    <row r="249" spans="2:21" x14ac:dyDescent="0.25">
      <c r="B249" s="5">
        <v>41</v>
      </c>
      <c r="C249" s="29">
        <v>12580</v>
      </c>
      <c r="D249" s="29">
        <v>1056</v>
      </c>
      <c r="E249" s="29">
        <v>11416</v>
      </c>
      <c r="F249" s="29">
        <v>1105</v>
      </c>
      <c r="G249" s="29">
        <v>410606477112.85223</v>
      </c>
      <c r="H249" s="29">
        <v>389638163750.51001</v>
      </c>
      <c r="I249" s="29">
        <v>46668519100</v>
      </c>
      <c r="J249" s="29">
        <v>286424785579</v>
      </c>
      <c r="K249" s="29">
        <v>23341929376</v>
      </c>
      <c r="L249" s="29">
        <v>7541604900</v>
      </c>
      <c r="M249" s="29">
        <v>329584618045</v>
      </c>
      <c r="N249" s="29">
        <v>44268724745</v>
      </c>
      <c r="O249" s="29">
        <v>16318915250</v>
      </c>
      <c r="P249" s="29">
        <v>18958735597</v>
      </c>
      <c r="Q249" s="29">
        <v>4542408241</v>
      </c>
      <c r="R249" s="29">
        <v>56339114450.790001</v>
      </c>
      <c r="S249" s="29">
        <v>58214591237.937782</v>
      </c>
      <c r="T249" s="29">
        <f t="shared" si="6"/>
        <v>-1875476787.1477814</v>
      </c>
      <c r="U249" s="99">
        <v>42369</v>
      </c>
    </row>
    <row r="250" spans="2:21" x14ac:dyDescent="0.25">
      <c r="B250" s="5">
        <v>44</v>
      </c>
      <c r="C250" s="29">
        <v>3766</v>
      </c>
      <c r="D250" s="29">
        <v>0</v>
      </c>
      <c r="E250" s="29">
        <v>3880</v>
      </c>
      <c r="F250" s="29">
        <v>0</v>
      </c>
      <c r="G250" s="29">
        <v>159415631594</v>
      </c>
      <c r="H250" s="29">
        <v>155190234661</v>
      </c>
      <c r="I250" s="29">
        <v>6771605000</v>
      </c>
      <c r="J250" s="29">
        <v>89542901629</v>
      </c>
      <c r="K250" s="29">
        <v>15700935884</v>
      </c>
      <c r="L250" s="29">
        <v>0</v>
      </c>
      <c r="M250" s="29">
        <v>124060209440</v>
      </c>
      <c r="N250" s="29">
        <v>31581230572</v>
      </c>
      <c r="O250" s="29">
        <v>8655350000</v>
      </c>
      <c r="P250" s="29">
        <v>5065132078</v>
      </c>
      <c r="Q250" s="29">
        <v>1790852549</v>
      </c>
      <c r="R250" s="29">
        <v>14076033969</v>
      </c>
      <c r="S250" s="29">
        <v>17168109883</v>
      </c>
      <c r="T250" s="29">
        <f t="shared" si="6"/>
        <v>-3092075914</v>
      </c>
      <c r="U250" s="99">
        <v>42369</v>
      </c>
    </row>
    <row r="251" spans="2:21" x14ac:dyDescent="0.25">
      <c r="B251" s="5">
        <v>45</v>
      </c>
      <c r="C251" s="29">
        <v>17926</v>
      </c>
      <c r="D251" s="29">
        <v>0</v>
      </c>
      <c r="E251" s="29">
        <v>20955</v>
      </c>
      <c r="F251" s="29">
        <v>0</v>
      </c>
      <c r="G251" s="29">
        <v>699727051546</v>
      </c>
      <c r="H251" s="29">
        <v>683373147420</v>
      </c>
      <c r="I251" s="29">
        <v>54864883825</v>
      </c>
      <c r="J251" s="29">
        <v>479215197649.70001</v>
      </c>
      <c r="K251" s="29">
        <v>72708651275</v>
      </c>
      <c r="L251" s="29">
        <v>0</v>
      </c>
      <c r="M251" s="29">
        <v>507025005607</v>
      </c>
      <c r="N251" s="29">
        <v>37847752125</v>
      </c>
      <c r="O251" s="29">
        <v>7011275225</v>
      </c>
      <c r="P251" s="29">
        <v>20520037640</v>
      </c>
      <c r="Q251" s="29">
        <v>27661451090</v>
      </c>
      <c r="R251" s="29">
        <v>79043364231</v>
      </c>
      <c r="S251" s="29">
        <v>78621824564</v>
      </c>
      <c r="T251" s="29">
        <f t="shared" si="6"/>
        <v>421539667</v>
      </c>
      <c r="U251" s="99">
        <v>42369</v>
      </c>
    </row>
    <row r="252" spans="2:21" x14ac:dyDescent="0.25">
      <c r="B252" s="5">
        <v>48</v>
      </c>
      <c r="C252" s="29">
        <v>7388</v>
      </c>
      <c r="D252" s="29">
        <v>621</v>
      </c>
      <c r="E252" s="29">
        <v>5336</v>
      </c>
      <c r="F252" s="29">
        <v>568</v>
      </c>
      <c r="G252" s="29">
        <v>255672128546</v>
      </c>
      <c r="H252" s="29">
        <v>246287562531</v>
      </c>
      <c r="I252" s="29">
        <v>19127264600</v>
      </c>
      <c r="J252" s="29">
        <v>180552811116</v>
      </c>
      <c r="K252" s="29">
        <v>18062149810</v>
      </c>
      <c r="L252" s="29">
        <v>0</v>
      </c>
      <c r="M252" s="29">
        <v>159673400425</v>
      </c>
      <c r="N252" s="29">
        <v>23139293080</v>
      </c>
      <c r="O252" s="29">
        <v>12334537830</v>
      </c>
      <c r="P252" s="29">
        <v>8228487125</v>
      </c>
      <c r="Q252" s="29">
        <v>5334988181</v>
      </c>
      <c r="R252" s="29">
        <v>28964945851</v>
      </c>
      <c r="S252" s="29">
        <v>28400889860</v>
      </c>
      <c r="T252" s="29">
        <f t="shared" si="6"/>
        <v>564055991</v>
      </c>
      <c r="U252" s="99">
        <v>42369</v>
      </c>
    </row>
    <row r="253" spans="2:21" x14ac:dyDescent="0.25">
      <c r="B253" s="5">
        <v>49</v>
      </c>
      <c r="C253" s="29">
        <v>2646</v>
      </c>
      <c r="D253" s="29">
        <v>246</v>
      </c>
      <c r="E253" s="29">
        <v>2893</v>
      </c>
      <c r="F253" s="29">
        <v>279</v>
      </c>
      <c r="G253" s="29">
        <v>98042688500</v>
      </c>
      <c r="H253" s="29">
        <v>96022481136</v>
      </c>
      <c r="I253" s="29">
        <v>7151717800</v>
      </c>
      <c r="J253" s="29">
        <v>72636591459</v>
      </c>
      <c r="K253" s="29">
        <v>5714082450</v>
      </c>
      <c r="L253" s="29">
        <v>0</v>
      </c>
      <c r="M253" s="29">
        <v>88021547200</v>
      </c>
      <c r="N253" s="29">
        <v>24700868175</v>
      </c>
      <c r="O253" s="29">
        <v>15284833725</v>
      </c>
      <c r="P253" s="29">
        <v>2726003760</v>
      </c>
      <c r="Q253" s="29">
        <v>1286850078</v>
      </c>
      <c r="R253" s="29">
        <v>13108386174</v>
      </c>
      <c r="S253" s="29">
        <v>13094629852</v>
      </c>
      <c r="T253" s="29">
        <f t="shared" si="6"/>
        <v>13756322</v>
      </c>
      <c r="U253" s="99">
        <v>42338</v>
      </c>
    </row>
    <row r="254" spans="2:21" x14ac:dyDescent="0.25">
      <c r="B254" s="5">
        <v>58</v>
      </c>
      <c r="C254" s="29">
        <v>3132</v>
      </c>
      <c r="D254" s="29">
        <v>0</v>
      </c>
      <c r="E254" s="29">
        <v>2912</v>
      </c>
      <c r="F254" s="29">
        <v>0</v>
      </c>
      <c r="G254" s="29">
        <v>121427919515</v>
      </c>
      <c r="H254" s="29">
        <v>83640656934</v>
      </c>
      <c r="I254" s="29">
        <v>12443059449</v>
      </c>
      <c r="J254" s="29">
        <v>76855150655</v>
      </c>
      <c r="K254" s="29">
        <v>11098962820</v>
      </c>
      <c r="L254" s="29">
        <v>1933320000</v>
      </c>
      <c r="M254" s="29">
        <v>76779605720</v>
      </c>
      <c r="N254" s="29">
        <v>7141537227</v>
      </c>
      <c r="O254" s="29">
        <v>3206968424</v>
      </c>
      <c r="P254" s="29">
        <v>560849345</v>
      </c>
      <c r="Q254" s="29">
        <v>677872384</v>
      </c>
      <c r="R254" s="29">
        <v>11697161848</v>
      </c>
      <c r="S254" s="29">
        <v>13620593512</v>
      </c>
      <c r="T254" s="29">
        <f t="shared" si="6"/>
        <v>-1923431664</v>
      </c>
      <c r="U254" s="99">
        <v>42338</v>
      </c>
    </row>
    <row r="255" spans="2:21" x14ac:dyDescent="0.25">
      <c r="B255" s="5">
        <v>55</v>
      </c>
      <c r="C255" s="29">
        <v>1792</v>
      </c>
      <c r="D255" s="29">
        <v>168</v>
      </c>
      <c r="E255" s="29">
        <v>1288</v>
      </c>
      <c r="F255" s="29">
        <v>145</v>
      </c>
      <c r="G255" s="29">
        <v>36459281299</v>
      </c>
      <c r="H255" s="29">
        <v>25129675642</v>
      </c>
      <c r="I255" s="29">
        <v>4823249500</v>
      </c>
      <c r="J255" s="29">
        <v>21411132800</v>
      </c>
      <c r="K255" s="29">
        <v>6562540500</v>
      </c>
      <c r="L255" s="29">
        <v>0</v>
      </c>
      <c r="M255" s="29">
        <v>20380886050</v>
      </c>
      <c r="N255" s="29">
        <v>2673487950</v>
      </c>
      <c r="O255" s="29">
        <v>9255815800</v>
      </c>
      <c r="P255" s="29">
        <v>1662208116</v>
      </c>
      <c r="Q255" s="29">
        <v>352819717</v>
      </c>
      <c r="R255" s="29">
        <v>1868153891</v>
      </c>
      <c r="S255" s="29">
        <v>2877067760</v>
      </c>
      <c r="T255" s="29">
        <f t="shared" si="6"/>
        <v>-1008913869</v>
      </c>
      <c r="U255" s="99">
        <v>42369</v>
      </c>
    </row>
    <row r="256" spans="2:21" x14ac:dyDescent="0.25">
      <c r="B256" s="5">
        <v>56</v>
      </c>
      <c r="C256" s="29">
        <v>1296</v>
      </c>
      <c r="D256" s="29">
        <v>38</v>
      </c>
      <c r="E256" s="29">
        <v>945</v>
      </c>
      <c r="F256" s="29">
        <v>31</v>
      </c>
      <c r="G256" s="29">
        <v>25483183762</v>
      </c>
      <c r="H256" s="29">
        <v>16385425387</v>
      </c>
      <c r="I256" s="29">
        <v>2548577725</v>
      </c>
      <c r="J256" s="29">
        <v>18755184250</v>
      </c>
      <c r="K256" s="29">
        <v>2370069525</v>
      </c>
      <c r="L256" s="29">
        <v>1431166600</v>
      </c>
      <c r="M256" s="29">
        <v>14300935725</v>
      </c>
      <c r="N256" s="29">
        <v>4572683075</v>
      </c>
      <c r="O256" s="29">
        <v>6266216350</v>
      </c>
      <c r="P256" s="29">
        <v>761249949</v>
      </c>
      <c r="Q256" s="29">
        <v>112486506</v>
      </c>
      <c r="R256" s="29">
        <v>779999247</v>
      </c>
      <c r="S256" s="29">
        <v>1092010866</v>
      </c>
      <c r="T256" s="29">
        <f t="shared" si="6"/>
        <v>-312011619</v>
      </c>
      <c r="U256" s="99">
        <v>41517</v>
      </c>
    </row>
    <row r="257" spans="2:21" x14ac:dyDescent="0.25">
      <c r="B257" s="73">
        <v>60</v>
      </c>
      <c r="C257" s="27">
        <v>1517</v>
      </c>
      <c r="D257" s="27">
        <v>109</v>
      </c>
      <c r="E257" s="27">
        <v>2046</v>
      </c>
      <c r="F257" s="27">
        <v>93</v>
      </c>
      <c r="G257" s="27">
        <v>34330907825</v>
      </c>
      <c r="H257" s="27">
        <v>32125408794</v>
      </c>
      <c r="I257" s="27">
        <v>5030230000</v>
      </c>
      <c r="J257" s="27">
        <v>17514348500</v>
      </c>
      <c r="K257" s="27">
        <f>24073788500-J257</f>
        <v>6559440000</v>
      </c>
      <c r="L257" s="27">
        <v>0</v>
      </c>
      <c r="M257" s="27">
        <v>24218551000</v>
      </c>
      <c r="N257" s="27">
        <v>4363821500</v>
      </c>
      <c r="O257" s="27">
        <v>7920118500</v>
      </c>
      <c r="P257" s="27">
        <v>2448752413</v>
      </c>
      <c r="Q257" s="27">
        <v>352935949</v>
      </c>
      <c r="R257" s="27">
        <f>348207647+28500227</f>
        <v>376707874</v>
      </c>
      <c r="S257" s="27">
        <v>371865600</v>
      </c>
      <c r="T257" s="27">
        <f t="shared" si="6"/>
        <v>4842274</v>
      </c>
      <c r="U257" s="112">
        <v>42429</v>
      </c>
    </row>
    <row r="258" spans="2:21" x14ac:dyDescent="0.25">
      <c r="B258" s="5">
        <v>61</v>
      </c>
      <c r="C258" s="29">
        <v>1394</v>
      </c>
      <c r="D258" s="29">
        <v>99</v>
      </c>
      <c r="E258" s="29">
        <v>1519</v>
      </c>
      <c r="F258" s="29">
        <v>98</v>
      </c>
      <c r="G258" s="29">
        <v>42756496443</v>
      </c>
      <c r="H258" s="29">
        <v>39796076643</v>
      </c>
      <c r="I258" s="29">
        <v>4576430000</v>
      </c>
      <c r="J258" s="29">
        <v>25880841050</v>
      </c>
      <c r="K258" s="29">
        <v>7097538300</v>
      </c>
      <c r="L258" s="29">
        <v>95000000</v>
      </c>
      <c r="M258" s="29">
        <v>30486988900</v>
      </c>
      <c r="N258" s="29">
        <v>3491963400</v>
      </c>
      <c r="O258" s="29">
        <v>1345693900</v>
      </c>
      <c r="P258" s="29">
        <v>1517334320</v>
      </c>
      <c r="Q258" s="29">
        <v>285596863</v>
      </c>
      <c r="R258" s="29">
        <v>5358769597</v>
      </c>
      <c r="S258" s="29">
        <v>4935974840</v>
      </c>
      <c r="T258" s="29">
        <f t="shared" si="6"/>
        <v>422794757</v>
      </c>
      <c r="U258" s="99">
        <v>42369</v>
      </c>
    </row>
    <row r="259" spans="2:21" x14ac:dyDescent="0.25">
      <c r="B259" s="5">
        <v>62</v>
      </c>
      <c r="C259" s="29">
        <v>10543</v>
      </c>
      <c r="D259" s="29">
        <v>1711</v>
      </c>
      <c r="E259" s="29">
        <v>16895</v>
      </c>
      <c r="F259" s="29">
        <v>1752</v>
      </c>
      <c r="G259" s="29">
        <v>353445593220</v>
      </c>
      <c r="H259" s="29">
        <v>325801553294</v>
      </c>
      <c r="I259" s="29">
        <v>47565304700</v>
      </c>
      <c r="J259" s="29">
        <v>196219895750</v>
      </c>
      <c r="K259" s="29">
        <v>65035183625</v>
      </c>
      <c r="L259" s="29">
        <v>487500000</v>
      </c>
      <c r="M259" s="29">
        <v>218044319450</v>
      </c>
      <c r="N259" s="29">
        <v>13468932150</v>
      </c>
      <c r="O259" s="29">
        <v>916544900</v>
      </c>
      <c r="P259" s="29">
        <v>17009144995</v>
      </c>
      <c r="Q259" s="29">
        <v>3290971836</v>
      </c>
      <c r="R259" s="29">
        <v>46189427192</v>
      </c>
      <c r="S259" s="29">
        <v>44941935321</v>
      </c>
      <c r="T259" s="29">
        <f t="shared" si="6"/>
        <v>1247491871</v>
      </c>
      <c r="U259" s="99">
        <v>42369</v>
      </c>
    </row>
    <row r="260" spans="2:21" x14ac:dyDescent="0.25">
      <c r="B260" s="5">
        <v>64</v>
      </c>
      <c r="C260" s="29">
        <v>5243</v>
      </c>
      <c r="D260" s="29">
        <v>434</v>
      </c>
      <c r="E260" s="29">
        <v>5097</v>
      </c>
      <c r="F260" s="29">
        <v>406</v>
      </c>
      <c r="G260" s="29">
        <v>164813864509</v>
      </c>
      <c r="H260" s="29">
        <v>158956513132</v>
      </c>
      <c r="I260" s="29">
        <v>16492090000</v>
      </c>
      <c r="J260" s="29">
        <v>87544227700</v>
      </c>
      <c r="K260" s="29">
        <v>45046306550</v>
      </c>
      <c r="L260" s="29">
        <v>0</v>
      </c>
      <c r="M260" s="29">
        <v>104014291200</v>
      </c>
      <c r="N260" s="29">
        <v>5308217350</v>
      </c>
      <c r="O260" s="29">
        <v>3189165850</v>
      </c>
      <c r="P260" s="29">
        <v>6309362088</v>
      </c>
      <c r="Q260" s="29">
        <v>1391672529</v>
      </c>
      <c r="R260" s="29">
        <v>23125831633</v>
      </c>
      <c r="S260" s="29">
        <v>22712040377</v>
      </c>
      <c r="T260" s="29">
        <f t="shared" si="6"/>
        <v>413791256</v>
      </c>
      <c r="U260" s="99">
        <v>42369</v>
      </c>
    </row>
    <row r="261" spans="2:21" x14ac:dyDescent="0.25">
      <c r="B261" s="5">
        <v>65</v>
      </c>
      <c r="C261" s="29">
        <v>1646</v>
      </c>
      <c r="D261" s="29">
        <v>60</v>
      </c>
      <c r="E261" s="29">
        <v>1553</v>
      </c>
      <c r="F261" s="29">
        <v>51</v>
      </c>
      <c r="G261" s="29">
        <v>57343607778</v>
      </c>
      <c r="H261" s="29">
        <v>56583147902</v>
      </c>
      <c r="I261" s="29">
        <v>4205385000</v>
      </c>
      <c r="J261" s="29">
        <v>36412854600</v>
      </c>
      <c r="K261" s="29">
        <v>12227402700</v>
      </c>
      <c r="L261" s="29">
        <v>0</v>
      </c>
      <c r="M261" s="29">
        <v>36440745450</v>
      </c>
      <c r="N261" s="29">
        <v>3164253700</v>
      </c>
      <c r="O261" s="29">
        <v>2113173700</v>
      </c>
      <c r="P261" s="29">
        <v>1654137317</v>
      </c>
      <c r="Q261" s="29">
        <v>266567731</v>
      </c>
      <c r="R261" s="29">
        <v>6593233808</v>
      </c>
      <c r="S261" s="29">
        <v>6234561370</v>
      </c>
      <c r="T261" s="29">
        <f t="shared" si="6"/>
        <v>358672438</v>
      </c>
      <c r="U261" s="99">
        <v>42369</v>
      </c>
    </row>
    <row r="262" spans="2:21" x14ac:dyDescent="0.25">
      <c r="B262" s="5">
        <v>66</v>
      </c>
      <c r="C262" s="29">
        <v>4290</v>
      </c>
      <c r="D262" s="29">
        <v>257</v>
      </c>
      <c r="E262" s="29">
        <v>4505</v>
      </c>
      <c r="F262" s="29">
        <v>171</v>
      </c>
      <c r="G262" s="29">
        <v>116721604464</v>
      </c>
      <c r="H262" s="29">
        <v>106686105426</v>
      </c>
      <c r="I262" s="29">
        <v>12006340000</v>
      </c>
      <c r="J262" s="29">
        <v>73082469150</v>
      </c>
      <c r="K262" s="29">
        <v>22387236740</v>
      </c>
      <c r="L262" s="29">
        <v>0</v>
      </c>
      <c r="M262" s="29">
        <v>90039936550</v>
      </c>
      <c r="N262" s="102">
        <v>6867779100</v>
      </c>
      <c r="O262" s="84">
        <v>844807550</v>
      </c>
      <c r="P262" s="29">
        <v>1656593405</v>
      </c>
      <c r="Q262" s="29">
        <v>176662100</v>
      </c>
      <c r="R262" s="29">
        <v>11706773873</v>
      </c>
      <c r="S262" s="29">
        <v>11575692475</v>
      </c>
      <c r="T262" s="29">
        <f t="shared" si="6"/>
        <v>131081398</v>
      </c>
      <c r="U262" s="99">
        <v>42369</v>
      </c>
    </row>
    <row r="263" spans="2:21" x14ac:dyDescent="0.25">
      <c r="B263" s="5">
        <v>67</v>
      </c>
      <c r="C263" s="29">
        <v>9618</v>
      </c>
      <c r="D263" s="29">
        <v>776</v>
      </c>
      <c r="E263" s="29">
        <v>12509</v>
      </c>
      <c r="F263" s="29">
        <v>748</v>
      </c>
      <c r="G263" s="29">
        <v>304583441632</v>
      </c>
      <c r="H263" s="29">
        <v>295586861904</v>
      </c>
      <c r="I263" s="29">
        <v>41824215650</v>
      </c>
      <c r="J263" s="29">
        <v>157707842840</v>
      </c>
      <c r="K263" s="29">
        <f>229576583900-J263</f>
        <v>71868741060</v>
      </c>
      <c r="L263" s="29">
        <v>0</v>
      </c>
      <c r="M263" s="29">
        <v>202593605800</v>
      </c>
      <c r="N263" s="29">
        <v>15208487850</v>
      </c>
      <c r="O263" s="29">
        <v>4270343850</v>
      </c>
      <c r="P263" s="29">
        <v>8670217130</v>
      </c>
      <c r="Q263" s="29">
        <v>3424095729</v>
      </c>
      <c r="R263" s="29">
        <f>4239052550+697142493</f>
        <v>4936195043</v>
      </c>
      <c r="S263" s="29">
        <v>4706657174</v>
      </c>
      <c r="T263" s="29">
        <f t="shared" si="6"/>
        <v>229537869</v>
      </c>
      <c r="U263" s="112">
        <v>42429</v>
      </c>
    </row>
    <row r="264" spans="2:21" x14ac:dyDescent="0.25">
      <c r="B264" s="5">
        <v>68</v>
      </c>
      <c r="C264" s="29">
        <v>899</v>
      </c>
      <c r="D264" s="29">
        <v>36</v>
      </c>
      <c r="E264" s="29">
        <v>1331</v>
      </c>
      <c r="F264" s="29">
        <v>42</v>
      </c>
      <c r="G264" s="29">
        <v>22625818476</v>
      </c>
      <c r="H264" s="29">
        <v>19854741988</v>
      </c>
      <c r="I264" s="29">
        <v>2261680900</v>
      </c>
      <c r="J264" s="29">
        <v>10206570069</v>
      </c>
      <c r="K264" s="29">
        <v>5635913266</v>
      </c>
      <c r="L264" s="29">
        <v>1799999600</v>
      </c>
      <c r="M264" s="100">
        <v>14207968350</v>
      </c>
      <c r="N264" s="29">
        <v>763726050</v>
      </c>
      <c r="O264" s="29">
        <v>342383800</v>
      </c>
      <c r="P264" s="29">
        <v>757593259</v>
      </c>
      <c r="Q264" s="29">
        <v>269784106</v>
      </c>
      <c r="R264" s="29">
        <v>3510174527</v>
      </c>
      <c r="S264" s="29">
        <v>3458227094</v>
      </c>
      <c r="T264" s="29">
        <f t="shared" si="6"/>
        <v>51947433</v>
      </c>
      <c r="U264" s="99">
        <v>42369</v>
      </c>
    </row>
    <row r="265" spans="2:21" x14ac:dyDescent="0.25">
      <c r="B265" s="5">
        <v>71</v>
      </c>
      <c r="C265" s="29">
        <v>1911</v>
      </c>
      <c r="D265" s="29"/>
      <c r="E265" s="29">
        <v>2832</v>
      </c>
      <c r="F265" s="29"/>
      <c r="G265" s="29">
        <v>66379301940</v>
      </c>
      <c r="H265" s="29">
        <v>59529845582</v>
      </c>
      <c r="I265" s="29">
        <v>7983700000</v>
      </c>
      <c r="J265" s="29">
        <v>36218135150</v>
      </c>
      <c r="K265" s="29">
        <v>10542339140</v>
      </c>
      <c r="L265" s="29">
        <v>0</v>
      </c>
      <c r="M265" s="29">
        <v>49937016300</v>
      </c>
      <c r="N265" s="29">
        <v>8747903000</v>
      </c>
      <c r="O265" s="29">
        <v>5223374500</v>
      </c>
      <c r="P265" s="29">
        <v>5619004345</v>
      </c>
      <c r="Q265" s="29">
        <v>817004741</v>
      </c>
      <c r="R265" s="29">
        <v>6312959758</v>
      </c>
      <c r="S265" s="29">
        <v>6163510850</v>
      </c>
      <c r="T265" s="29">
        <f t="shared" si="6"/>
        <v>149448908</v>
      </c>
      <c r="U265" s="99">
        <v>42369</v>
      </c>
    </row>
    <row r="266" spans="2:21" x14ac:dyDescent="0.25">
      <c r="B266" s="73">
        <v>72</v>
      </c>
      <c r="C266" s="27">
        <v>567</v>
      </c>
      <c r="D266" s="27">
        <v>115</v>
      </c>
      <c r="E266" s="27">
        <v>732</v>
      </c>
      <c r="F266" s="27">
        <v>74</v>
      </c>
      <c r="G266" s="27">
        <v>14115337164</v>
      </c>
      <c r="H266" s="27">
        <v>13824032857</v>
      </c>
      <c r="I266" s="27">
        <v>2111625000</v>
      </c>
      <c r="J266" s="27">
        <v>9199766950</v>
      </c>
      <c r="K266" s="27">
        <v>1217329050</v>
      </c>
      <c r="L266" s="27">
        <v>0</v>
      </c>
      <c r="M266" s="27">
        <v>9002763750</v>
      </c>
      <c r="N266" s="27">
        <v>1115430950</v>
      </c>
      <c r="O266" s="27">
        <v>19122200</v>
      </c>
      <c r="P266" s="27">
        <v>415732300</v>
      </c>
      <c r="Q266" s="27">
        <v>146875658</v>
      </c>
      <c r="R266" s="27">
        <v>2088608736</v>
      </c>
      <c r="S266" s="27">
        <v>2069333230</v>
      </c>
      <c r="T266" s="27">
        <f t="shared" si="6"/>
        <v>19275506</v>
      </c>
      <c r="U266" s="110">
        <v>42369</v>
      </c>
    </row>
    <row r="267" spans="2:21" x14ac:dyDescent="0.25">
      <c r="B267" s="5">
        <v>74</v>
      </c>
      <c r="C267" s="29">
        <v>500</v>
      </c>
      <c r="D267" s="29">
        <v>107</v>
      </c>
      <c r="E267" s="29">
        <v>565</v>
      </c>
      <c r="F267" s="29">
        <v>97</v>
      </c>
      <c r="G267" s="29">
        <v>39083506151</v>
      </c>
      <c r="H267" s="29">
        <v>37308225500</v>
      </c>
      <c r="I267" s="29">
        <v>2901719000</v>
      </c>
      <c r="J267" s="29">
        <v>21643491395</v>
      </c>
      <c r="K267" s="29">
        <v>10436595574</v>
      </c>
      <c r="L267" s="29">
        <v>883333100</v>
      </c>
      <c r="M267" s="29">
        <v>28081263000</v>
      </c>
      <c r="N267" s="29">
        <v>1052309000</v>
      </c>
      <c r="O267" s="29">
        <v>97063000</v>
      </c>
      <c r="P267" s="29">
        <v>1410718143</v>
      </c>
      <c r="Q267" s="29">
        <v>585907932</v>
      </c>
      <c r="R267" s="29">
        <v>4165040817</v>
      </c>
      <c r="S267" s="29">
        <v>4164996489</v>
      </c>
      <c r="T267" s="29">
        <f t="shared" si="6"/>
        <v>44328</v>
      </c>
      <c r="U267" s="99">
        <v>42369</v>
      </c>
    </row>
    <row r="268" spans="2:21" x14ac:dyDescent="0.25">
      <c r="B268" s="5">
        <v>75</v>
      </c>
      <c r="C268" s="29">
        <v>1029</v>
      </c>
      <c r="D268" s="29">
        <v>68</v>
      </c>
      <c r="E268" s="29">
        <v>1038</v>
      </c>
      <c r="F268" s="29">
        <v>57</v>
      </c>
      <c r="G268" s="29">
        <v>34881768461</v>
      </c>
      <c r="H268" s="29">
        <v>34229331211</v>
      </c>
      <c r="I268" s="29">
        <v>2990385000</v>
      </c>
      <c r="J268" s="29">
        <v>23080610800</v>
      </c>
      <c r="K268" s="29">
        <v>4194835100</v>
      </c>
      <c r="L268" s="29">
        <v>24994000</v>
      </c>
      <c r="M268" s="29">
        <v>20655654450</v>
      </c>
      <c r="N268" s="29">
        <v>2098180950</v>
      </c>
      <c r="O268" s="29">
        <v>613956900</v>
      </c>
      <c r="P268" s="29">
        <v>2242006850</v>
      </c>
      <c r="Q268" s="29">
        <v>30694500</v>
      </c>
      <c r="R268" s="29">
        <v>5630337439</v>
      </c>
      <c r="S268" s="29">
        <v>5272858778</v>
      </c>
      <c r="T268" s="29">
        <f t="shared" si="6"/>
        <v>357478661</v>
      </c>
      <c r="U268" s="99">
        <v>42369</v>
      </c>
    </row>
    <row r="269" spans="2:21" x14ac:dyDescent="0.25">
      <c r="B269" s="5">
        <v>81</v>
      </c>
      <c r="C269" s="29">
        <v>374</v>
      </c>
      <c r="D269" s="29">
        <v>5</v>
      </c>
      <c r="E269" s="29">
        <v>331</v>
      </c>
      <c r="F269" s="29">
        <v>6</v>
      </c>
      <c r="G269" s="29">
        <v>8245756345</v>
      </c>
      <c r="H269" s="29">
        <v>8138199345</v>
      </c>
      <c r="I269" s="29">
        <v>924580000</v>
      </c>
      <c r="J269" s="29">
        <v>5871368300</v>
      </c>
      <c r="K269" s="29">
        <v>734073000</v>
      </c>
      <c r="L269" s="29">
        <v>0</v>
      </c>
      <c r="M269" s="29">
        <v>5318796800</v>
      </c>
      <c r="N269" s="29">
        <v>867750200</v>
      </c>
      <c r="O269" s="29">
        <v>55398500</v>
      </c>
      <c r="P269" s="29">
        <v>178360105</v>
      </c>
      <c r="Q269" s="29">
        <v>37593637</v>
      </c>
      <c r="R269" s="29">
        <v>1041448271</v>
      </c>
      <c r="S269" s="29">
        <v>1054246731</v>
      </c>
      <c r="T269" s="29">
        <f t="shared" si="6"/>
        <v>-12798460</v>
      </c>
      <c r="U269" s="99">
        <v>42369</v>
      </c>
    </row>
    <row r="270" spans="2:21" x14ac:dyDescent="0.25">
      <c r="B270" s="5">
        <v>82</v>
      </c>
      <c r="C270" s="29">
        <v>482</v>
      </c>
      <c r="D270" s="29"/>
      <c r="E270" s="29">
        <v>569</v>
      </c>
      <c r="F270" s="29"/>
      <c r="G270" s="29">
        <v>3221532607</v>
      </c>
      <c r="H270" s="29">
        <v>2862970323</v>
      </c>
      <c r="I270" s="29">
        <v>290865850</v>
      </c>
      <c r="J270" s="29">
        <v>1302802300</v>
      </c>
      <c r="K270" s="29">
        <v>989351335</v>
      </c>
      <c r="L270" s="29">
        <v>186666400</v>
      </c>
      <c r="M270" s="29">
        <v>2156823100</v>
      </c>
      <c r="N270" s="84">
        <v>292279200</v>
      </c>
      <c r="O270" s="84">
        <v>16049500</v>
      </c>
      <c r="P270" s="29">
        <v>79018070</v>
      </c>
      <c r="Q270" s="29">
        <v>103047033</v>
      </c>
      <c r="R270" s="29">
        <v>502354231</v>
      </c>
      <c r="S270" s="29">
        <v>481292682</v>
      </c>
      <c r="T270" s="29">
        <f t="shared" si="6"/>
        <v>21061549</v>
      </c>
      <c r="U270" s="99">
        <v>42369</v>
      </c>
    </row>
    <row r="271" spans="2:21" x14ac:dyDescent="0.25">
      <c r="B271" s="5">
        <v>1</v>
      </c>
      <c r="C271" s="29">
        <v>27228</v>
      </c>
      <c r="D271" s="29">
        <v>0</v>
      </c>
      <c r="E271" s="29">
        <v>23849</v>
      </c>
      <c r="F271" s="29">
        <v>0</v>
      </c>
      <c r="G271" s="29">
        <v>528035044663</v>
      </c>
      <c r="H271" s="29">
        <v>479748391823</v>
      </c>
      <c r="I271" s="29">
        <v>83676064875</v>
      </c>
      <c r="J271" s="29">
        <v>323401996351</v>
      </c>
      <c r="K271" s="29">
        <v>78197103260</v>
      </c>
      <c r="L271" s="29">
        <v>10243099200</v>
      </c>
      <c r="M271" s="29">
        <v>410147229695</v>
      </c>
      <c r="N271" s="84">
        <v>22975925323</v>
      </c>
      <c r="O271" s="84">
        <v>8693565625</v>
      </c>
      <c r="P271" s="29">
        <v>5127395868</v>
      </c>
      <c r="Q271" s="29">
        <v>1289244118</v>
      </c>
      <c r="R271" s="29">
        <v>64698321293</v>
      </c>
      <c r="S271" s="29">
        <v>61186295405</v>
      </c>
      <c r="T271" s="29">
        <f t="shared" si="6"/>
        <v>3512025888</v>
      </c>
      <c r="U271" s="99">
        <v>42369</v>
      </c>
    </row>
    <row r="272" spans="2:21" x14ac:dyDescent="0.25">
      <c r="B272" s="5">
        <v>7</v>
      </c>
      <c r="C272" s="29">
        <v>3235</v>
      </c>
      <c r="D272" s="29">
        <v>586</v>
      </c>
      <c r="E272" s="29">
        <v>3431</v>
      </c>
      <c r="F272" s="29">
        <v>551</v>
      </c>
      <c r="G272" s="29">
        <v>85186845850</v>
      </c>
      <c r="H272" s="29">
        <v>79795111550</v>
      </c>
      <c r="I272" s="29">
        <v>7421569550</v>
      </c>
      <c r="J272" s="29">
        <v>60370272250</v>
      </c>
      <c r="K272" s="29">
        <v>13097423400</v>
      </c>
      <c r="L272" s="29">
        <v>0</v>
      </c>
      <c r="M272" s="29">
        <v>69370478450</v>
      </c>
      <c r="N272" s="84">
        <v>2816223375</v>
      </c>
      <c r="O272" s="84">
        <v>2579586600</v>
      </c>
      <c r="P272" s="29">
        <v>805067900</v>
      </c>
      <c r="Q272" s="29">
        <v>4000000</v>
      </c>
      <c r="R272" s="29">
        <v>10528519350</v>
      </c>
      <c r="S272" s="29">
        <v>10229882100</v>
      </c>
      <c r="T272" s="29">
        <f t="shared" si="6"/>
        <v>298637250</v>
      </c>
      <c r="U272" s="99">
        <v>42369</v>
      </c>
    </row>
    <row r="273" spans="2:21" x14ac:dyDescent="0.25">
      <c r="B273" s="5">
        <v>12</v>
      </c>
      <c r="C273" s="29">
        <v>6721</v>
      </c>
      <c r="D273" s="29">
        <v>0</v>
      </c>
      <c r="E273" s="29">
        <v>4758</v>
      </c>
      <c r="F273" s="29">
        <v>0</v>
      </c>
      <c r="G273" s="29">
        <v>81433373175</v>
      </c>
      <c r="H273" s="29">
        <v>74290565347</v>
      </c>
      <c r="I273" s="29">
        <v>12488478000</v>
      </c>
      <c r="J273" s="29">
        <v>50221729488</v>
      </c>
      <c r="K273" s="29">
        <v>7292447236</v>
      </c>
      <c r="L273" s="29">
        <v>1113500000</v>
      </c>
      <c r="M273" s="29">
        <v>62061578200</v>
      </c>
      <c r="N273" s="84">
        <v>7418559250</v>
      </c>
      <c r="O273" s="84">
        <v>2225089450</v>
      </c>
      <c r="P273" s="29">
        <v>3074951421</v>
      </c>
      <c r="Q273" s="29">
        <v>2999408165</v>
      </c>
      <c r="R273" s="29">
        <v>11533893805</v>
      </c>
      <c r="S273" s="29">
        <v>11419468722</v>
      </c>
      <c r="T273" s="29">
        <f t="shared" si="6"/>
        <v>114425083</v>
      </c>
      <c r="U273" s="99">
        <v>42369</v>
      </c>
    </row>
    <row r="274" spans="2:21" x14ac:dyDescent="0.25">
      <c r="B274" s="5">
        <v>14</v>
      </c>
      <c r="C274" s="29">
        <v>10396</v>
      </c>
      <c r="D274" s="29">
        <v>461</v>
      </c>
      <c r="E274" s="29">
        <v>6385</v>
      </c>
      <c r="F274" s="29">
        <v>447</v>
      </c>
      <c r="G274" s="29">
        <v>184861983363</v>
      </c>
      <c r="H274" s="29">
        <v>157752962444</v>
      </c>
      <c r="I274" s="29">
        <v>22315554250</v>
      </c>
      <c r="J274" s="29">
        <v>98898026039</v>
      </c>
      <c r="K274" s="29">
        <v>44697748692</v>
      </c>
      <c r="L274" s="29">
        <v>1250000000</v>
      </c>
      <c r="M274" s="29">
        <v>137676010800</v>
      </c>
      <c r="N274" s="84">
        <v>4218926800</v>
      </c>
      <c r="O274" s="84">
        <v>1632349400</v>
      </c>
      <c r="P274" s="29">
        <v>5069522655</v>
      </c>
      <c r="Q274" s="29">
        <v>6579051176</v>
      </c>
      <c r="R274" s="29">
        <v>24274968701</v>
      </c>
      <c r="S274" s="29">
        <v>24166843480</v>
      </c>
      <c r="T274" s="29">
        <f t="shared" si="6"/>
        <v>108125221</v>
      </c>
      <c r="U274" s="99">
        <v>42369</v>
      </c>
    </row>
    <row r="275" spans="2:21" x14ac:dyDescent="0.25">
      <c r="B275" s="5">
        <v>26</v>
      </c>
      <c r="C275" s="29">
        <v>1652</v>
      </c>
      <c r="D275" s="29">
        <v>0</v>
      </c>
      <c r="E275" s="29">
        <v>821</v>
      </c>
      <c r="F275" s="29">
        <v>0</v>
      </c>
      <c r="G275" s="29">
        <v>18970882095</v>
      </c>
      <c r="H275" s="29">
        <f>298253567+5955342+5633600+17578159961+614400000+14351500+66470000</f>
        <v>18583223970</v>
      </c>
      <c r="I275" s="29">
        <v>2769018850</v>
      </c>
      <c r="J275" s="29">
        <v>11832707324</v>
      </c>
      <c r="K275" s="29">
        <v>810924955</v>
      </c>
      <c r="L275" s="29">
        <v>621250000</v>
      </c>
      <c r="M275" s="29">
        <v>17578159961</v>
      </c>
      <c r="N275" s="29">
        <v>1304038700</v>
      </c>
      <c r="O275" s="29">
        <v>3296768800</v>
      </c>
      <c r="P275" s="29">
        <v>592472316</v>
      </c>
      <c r="Q275" s="29">
        <v>333270210</v>
      </c>
      <c r="R275" s="29">
        <v>1221540915</v>
      </c>
      <c r="S275" s="29">
        <v>975210795</v>
      </c>
      <c r="T275" s="29">
        <f t="shared" si="6"/>
        <v>246330120</v>
      </c>
      <c r="U275" s="99">
        <v>42369</v>
      </c>
    </row>
    <row r="276" spans="2:21" x14ac:dyDescent="0.25">
      <c r="B276" s="5">
        <v>35</v>
      </c>
      <c r="C276" s="29">
        <v>218</v>
      </c>
      <c r="D276" s="29"/>
      <c r="E276" s="29">
        <v>263</v>
      </c>
      <c r="F276" s="29"/>
      <c r="G276" s="29">
        <v>9923089106</v>
      </c>
      <c r="H276" s="29">
        <v>9888164596</v>
      </c>
      <c r="I276" s="29">
        <v>836332950</v>
      </c>
      <c r="J276" s="29">
        <v>5027390100</v>
      </c>
      <c r="K276" s="29">
        <v>3011411350</v>
      </c>
      <c r="L276" s="29">
        <v>70000000</v>
      </c>
      <c r="M276" s="29">
        <v>8698499075</v>
      </c>
      <c r="N276" s="29">
        <v>11200500</v>
      </c>
      <c r="O276" s="29">
        <v>8530000</v>
      </c>
      <c r="P276" s="29">
        <v>42511170</v>
      </c>
      <c r="Q276" s="29">
        <v>109447970</v>
      </c>
      <c r="R276" s="29">
        <v>1233778725</v>
      </c>
      <c r="S276" s="29">
        <v>613880439</v>
      </c>
      <c r="T276" s="29">
        <f t="shared" si="6"/>
        <v>619898286</v>
      </c>
      <c r="U276" s="99">
        <v>42369</v>
      </c>
    </row>
    <row r="277" spans="2:21" x14ac:dyDescent="0.25">
      <c r="B277" s="5">
        <v>40</v>
      </c>
      <c r="C277" s="29">
        <v>10824</v>
      </c>
      <c r="D277" s="29">
        <v>0</v>
      </c>
      <c r="E277" s="29">
        <v>10943</v>
      </c>
      <c r="F277" s="29">
        <v>0</v>
      </c>
      <c r="G277" s="29">
        <v>239097531714.05338</v>
      </c>
      <c r="H277" s="29">
        <v>204992938655.72</v>
      </c>
      <c r="I277" s="29">
        <v>35486365300</v>
      </c>
      <c r="J277" s="29">
        <v>139916299135</v>
      </c>
      <c r="K277" s="29">
        <v>45064312295.5</v>
      </c>
      <c r="L277" s="29">
        <v>58328800</v>
      </c>
      <c r="M277" s="29">
        <v>175068101700</v>
      </c>
      <c r="N277" s="29">
        <v>36114148200</v>
      </c>
      <c r="O277" s="29">
        <v>37301257300</v>
      </c>
      <c r="P277" s="29">
        <v>8041798964.1260004</v>
      </c>
      <c r="Q277" s="29">
        <v>3778035020.9660001</v>
      </c>
      <c r="R277" s="29">
        <v>27791644602.280003</v>
      </c>
      <c r="S277" s="29">
        <v>27652480018.170002</v>
      </c>
      <c r="T277" s="29">
        <f t="shared" si="6"/>
        <v>139164584.11000061</v>
      </c>
      <c r="U277" s="99">
        <v>42369</v>
      </c>
    </row>
    <row r="278" spans="2:21" x14ac:dyDescent="0.25">
      <c r="B278" s="5">
        <v>46</v>
      </c>
      <c r="C278" s="29">
        <v>2085</v>
      </c>
      <c r="D278" s="29">
        <v>70</v>
      </c>
      <c r="E278" s="29">
        <v>1379</v>
      </c>
      <c r="F278" s="29">
        <v>37</v>
      </c>
      <c r="G278" s="29">
        <v>37283379859.269997</v>
      </c>
      <c r="H278" s="29">
        <v>32080786097.060001</v>
      </c>
      <c r="I278" s="29">
        <v>4084695397</v>
      </c>
      <c r="J278" s="29">
        <v>25367226424</v>
      </c>
      <c r="K278" s="29">
        <v>2701134926</v>
      </c>
      <c r="L278" s="29">
        <v>3769222159</v>
      </c>
      <c r="M278" s="29">
        <v>27163724900</v>
      </c>
      <c r="N278" s="29">
        <v>1865098000</v>
      </c>
      <c r="O278" s="29">
        <v>652257450</v>
      </c>
      <c r="P278" s="29">
        <v>719238781</v>
      </c>
      <c r="Q278" s="29">
        <v>243328713</v>
      </c>
      <c r="R278" s="29">
        <v>4813172778.8199997</v>
      </c>
      <c r="S278" s="29">
        <v>4812289070.7599993</v>
      </c>
      <c r="T278" s="29">
        <f t="shared" si="6"/>
        <v>883708.06000041962</v>
      </c>
      <c r="U278" s="99">
        <v>42369</v>
      </c>
    </row>
    <row r="279" spans="2:21" x14ac:dyDescent="0.25">
      <c r="B279" s="5">
        <v>52</v>
      </c>
      <c r="C279" s="29">
        <v>2759</v>
      </c>
      <c r="D279" s="29">
        <v>160</v>
      </c>
      <c r="E279" s="29">
        <v>2685</v>
      </c>
      <c r="F279" s="29">
        <v>117</v>
      </c>
      <c r="G279" s="29">
        <v>42481576721</v>
      </c>
      <c r="H279" s="29">
        <v>31266377881</v>
      </c>
      <c r="I279" s="29">
        <v>6357714000</v>
      </c>
      <c r="J279" s="29">
        <v>19161528336</v>
      </c>
      <c r="K279" s="29">
        <v>2367521290</v>
      </c>
      <c r="L279" s="29">
        <v>4114877600</v>
      </c>
      <c r="M279" s="29">
        <v>30393836136</v>
      </c>
      <c r="N279" s="29">
        <v>11274927480</v>
      </c>
      <c r="O279" s="29">
        <v>8139350620</v>
      </c>
      <c r="P279" s="29">
        <v>869432925</v>
      </c>
      <c r="Q279" s="29">
        <v>1458378496</v>
      </c>
      <c r="R279" s="29">
        <v>3555178592</v>
      </c>
      <c r="S279" s="29">
        <v>3835445608</v>
      </c>
      <c r="T279" s="29">
        <f t="shared" si="6"/>
        <v>-280267016</v>
      </c>
      <c r="U279" s="99">
        <v>42369</v>
      </c>
    </row>
    <row r="280" spans="2:21" x14ac:dyDescent="0.25">
      <c r="B280" s="5">
        <v>53</v>
      </c>
      <c r="C280" s="29">
        <v>10924</v>
      </c>
      <c r="D280" s="29">
        <v>0</v>
      </c>
      <c r="E280" s="29">
        <v>9568</v>
      </c>
      <c r="F280" s="29">
        <v>0</v>
      </c>
      <c r="G280" s="29">
        <v>248049812122</v>
      </c>
      <c r="H280" s="29">
        <v>236727735765</v>
      </c>
      <c r="I280" s="29">
        <v>33756399800</v>
      </c>
      <c r="J280" s="29">
        <v>147456052425</v>
      </c>
      <c r="K280" s="29">
        <v>36493789135</v>
      </c>
      <c r="L280" s="29">
        <v>0</v>
      </c>
      <c r="M280" s="29">
        <v>172722999000</v>
      </c>
      <c r="N280" s="29">
        <v>22542842300</v>
      </c>
      <c r="O280" s="29">
        <v>9658490550</v>
      </c>
      <c r="P280" s="29">
        <v>10093417687</v>
      </c>
      <c r="Q280" s="29">
        <v>3573763785</v>
      </c>
      <c r="R280" s="29">
        <v>19556678180</v>
      </c>
      <c r="S280" s="29">
        <v>18516412057</v>
      </c>
      <c r="T280" s="29">
        <f t="shared" si="6"/>
        <v>1040266123</v>
      </c>
      <c r="U280" s="99">
        <v>42369</v>
      </c>
    </row>
    <row r="281" spans="2:21" x14ac:dyDescent="0.25">
      <c r="B281" s="5">
        <v>54</v>
      </c>
      <c r="C281" s="29">
        <v>4814</v>
      </c>
      <c r="D281" s="29">
        <v>414</v>
      </c>
      <c r="E281" s="29">
        <v>3652</v>
      </c>
      <c r="F281" s="29">
        <v>370</v>
      </c>
      <c r="G281" s="29">
        <v>103859303440.75999</v>
      </c>
      <c r="H281" s="29">
        <v>99573627321.759995</v>
      </c>
      <c r="I281" s="29">
        <v>12649089300</v>
      </c>
      <c r="J281" s="29">
        <v>65118934058</v>
      </c>
      <c r="K281" s="29">
        <v>17974113322</v>
      </c>
      <c r="L281" s="29">
        <v>284439600</v>
      </c>
      <c r="M281" s="29">
        <v>85677137302</v>
      </c>
      <c r="N281" s="29">
        <v>17781914826</v>
      </c>
      <c r="O281" s="29">
        <v>8892733100</v>
      </c>
      <c r="P281" s="29">
        <v>2743875318</v>
      </c>
      <c r="Q281" s="29">
        <v>1324286099</v>
      </c>
      <c r="R281" s="29">
        <v>11162761629</v>
      </c>
      <c r="S281" s="29">
        <v>11083834655.24</v>
      </c>
      <c r="T281" s="29">
        <f t="shared" si="6"/>
        <v>78926973.760000229</v>
      </c>
      <c r="U281" s="99">
        <v>42369</v>
      </c>
    </row>
    <row r="282" spans="2:21" x14ac:dyDescent="0.25">
      <c r="B282" s="5">
        <v>59</v>
      </c>
      <c r="C282" s="29">
        <v>5494</v>
      </c>
      <c r="D282" s="29">
        <v>0</v>
      </c>
      <c r="E282" s="29">
        <v>5585</v>
      </c>
      <c r="F282" s="29">
        <v>0</v>
      </c>
      <c r="G282" s="29">
        <v>155874537233</v>
      </c>
      <c r="H282" s="29">
        <v>146720484796</v>
      </c>
      <c r="I282" s="29">
        <v>17332084400</v>
      </c>
      <c r="J282" s="29">
        <v>73128832500</v>
      </c>
      <c r="K282" s="29">
        <v>69871997999</v>
      </c>
      <c r="L282" s="29">
        <v>0</v>
      </c>
      <c r="M282" s="29">
        <v>112138416230</v>
      </c>
      <c r="N282" s="29">
        <v>14328688309</v>
      </c>
      <c r="O282" s="29">
        <v>13165857750</v>
      </c>
      <c r="P282" s="29">
        <v>4791681118</v>
      </c>
      <c r="Q282" s="29">
        <v>315260337</v>
      </c>
      <c r="R282" s="29">
        <v>19379298656</v>
      </c>
      <c r="S282" s="29">
        <v>19100714212</v>
      </c>
      <c r="T282" s="29">
        <f t="shared" si="6"/>
        <v>278584444</v>
      </c>
      <c r="U282" s="99">
        <v>42369</v>
      </c>
    </row>
    <row r="283" spans="2:21" x14ac:dyDescent="0.25">
      <c r="B283" s="5">
        <v>69</v>
      </c>
      <c r="C283" s="29">
        <v>2782</v>
      </c>
      <c r="D283" s="29">
        <v>0</v>
      </c>
      <c r="E283" s="29">
        <v>2553</v>
      </c>
      <c r="F283" s="29">
        <v>0</v>
      </c>
      <c r="G283" s="29">
        <v>43980568819</v>
      </c>
      <c r="H283" s="29">
        <v>41190942019</v>
      </c>
      <c r="I283" s="29">
        <v>3806618700</v>
      </c>
      <c r="J283" s="29">
        <v>24451195592</v>
      </c>
      <c r="K283" s="29">
        <v>10776170903</v>
      </c>
      <c r="L283" s="29">
        <v>1300000</v>
      </c>
      <c r="M283" s="29">
        <v>31664164450</v>
      </c>
      <c r="N283" s="29">
        <v>5112515600</v>
      </c>
      <c r="O283" s="29">
        <v>26349300</v>
      </c>
      <c r="P283" s="29">
        <v>1168629918</v>
      </c>
      <c r="Q283" s="29">
        <v>329164684</v>
      </c>
      <c r="R283" s="29">
        <v>4815438585</v>
      </c>
      <c r="S283" s="29">
        <v>4798901250</v>
      </c>
      <c r="T283" s="29">
        <f t="shared" si="6"/>
        <v>16537335</v>
      </c>
      <c r="U283" s="99">
        <v>42369</v>
      </c>
    </row>
    <row r="284" spans="2:21" x14ac:dyDescent="0.25">
      <c r="B284" s="5">
        <v>70</v>
      </c>
      <c r="C284" s="29">
        <v>730</v>
      </c>
      <c r="D284" s="29">
        <v>0</v>
      </c>
      <c r="E284" s="29">
        <v>602</v>
      </c>
      <c r="F284" s="29">
        <v>0</v>
      </c>
      <c r="G284" s="29">
        <v>10450563326</v>
      </c>
      <c r="H284" s="29">
        <v>7997569676</v>
      </c>
      <c r="I284" s="29">
        <v>1257907000</v>
      </c>
      <c r="J284" s="29">
        <v>6933953000</v>
      </c>
      <c r="K284" s="29">
        <v>1320592994</v>
      </c>
      <c r="L284" s="29">
        <v>55187050</v>
      </c>
      <c r="M284" s="29">
        <v>7198492700</v>
      </c>
      <c r="N284" s="84">
        <v>679894100</v>
      </c>
      <c r="O284" s="84">
        <v>2014750600</v>
      </c>
      <c r="P284" s="29">
        <v>138403423</v>
      </c>
      <c r="Q284" s="29">
        <v>3098999</v>
      </c>
      <c r="R284" s="29">
        <v>1094241050</v>
      </c>
      <c r="S284" s="29">
        <v>1091803750</v>
      </c>
      <c r="T284" s="29">
        <f t="shared" si="6"/>
        <v>2437300</v>
      </c>
      <c r="U284" s="99">
        <v>42369</v>
      </c>
    </row>
    <row r="285" spans="2:21" x14ac:dyDescent="0.25">
      <c r="B285" s="5">
        <v>73</v>
      </c>
      <c r="C285" s="29">
        <v>4176</v>
      </c>
      <c r="D285" s="29">
        <v>0</v>
      </c>
      <c r="E285" s="29">
        <v>4779</v>
      </c>
      <c r="F285" s="29">
        <v>0</v>
      </c>
      <c r="G285" s="29">
        <v>139474028279</v>
      </c>
      <c r="H285" s="29">
        <v>135650767545</v>
      </c>
      <c r="I285" s="29">
        <v>18352870000</v>
      </c>
      <c r="J285" s="29">
        <v>65674619023</v>
      </c>
      <c r="K285" s="29">
        <v>35821621088</v>
      </c>
      <c r="L285" s="29">
        <v>56377572</v>
      </c>
      <c r="M285" s="29">
        <v>108581749330</v>
      </c>
      <c r="N285" s="84">
        <v>22455217691</v>
      </c>
      <c r="O285" s="84">
        <v>2216756268</v>
      </c>
      <c r="P285" s="29">
        <v>3353191973</v>
      </c>
      <c r="Q285" s="29">
        <v>2641080650</v>
      </c>
      <c r="R285" s="29">
        <v>17897711860</v>
      </c>
      <c r="S285" s="29">
        <v>17586995527</v>
      </c>
      <c r="T285" s="29">
        <f t="shared" si="6"/>
        <v>310716333</v>
      </c>
      <c r="U285" s="99">
        <v>42369</v>
      </c>
    </row>
    <row r="286" spans="2:21" x14ac:dyDescent="0.25">
      <c r="B286" s="5">
        <v>76</v>
      </c>
      <c r="C286" s="29">
        <v>1152</v>
      </c>
      <c r="D286" s="29"/>
      <c r="E286" s="29">
        <v>940</v>
      </c>
      <c r="F286" s="29"/>
      <c r="G286" s="29">
        <v>35478362390</v>
      </c>
      <c r="H286" s="29">
        <v>35985689360</v>
      </c>
      <c r="I286" s="29">
        <v>2725230000</v>
      </c>
      <c r="J286" s="29">
        <v>19038077100</v>
      </c>
      <c r="K286" s="29">
        <v>11687337028</v>
      </c>
      <c r="L286" s="29">
        <v>0</v>
      </c>
      <c r="M286" s="29">
        <v>27269220567</v>
      </c>
      <c r="N286" s="84">
        <v>63522424</v>
      </c>
      <c r="O286" s="84">
        <v>13903639</v>
      </c>
      <c r="P286" s="100">
        <v>546216320</v>
      </c>
      <c r="Q286" s="29">
        <v>183518331</v>
      </c>
      <c r="R286" s="29">
        <v>4195491161</v>
      </c>
      <c r="S286" s="29">
        <v>3791160552</v>
      </c>
      <c r="T286" s="29">
        <f t="shared" si="6"/>
        <v>404330609</v>
      </c>
      <c r="U286" s="99">
        <v>42369</v>
      </c>
    </row>
    <row r="287" spans="2:21" x14ac:dyDescent="0.25">
      <c r="B287" s="5">
        <v>78</v>
      </c>
      <c r="C287" s="29">
        <v>487</v>
      </c>
      <c r="D287" s="29">
        <v>0</v>
      </c>
      <c r="E287" s="29">
        <v>652</v>
      </c>
      <c r="F287" s="29">
        <v>0</v>
      </c>
      <c r="G287" s="29">
        <v>15212932014</v>
      </c>
      <c r="H287" s="29">
        <v>14971343814</v>
      </c>
      <c r="I287" s="29">
        <v>1376585000</v>
      </c>
      <c r="J287" s="29">
        <v>4504718350</v>
      </c>
      <c r="K287" s="29">
        <v>7019083843</v>
      </c>
      <c r="L287" s="29">
        <v>283580850</v>
      </c>
      <c r="M287" s="29">
        <v>11552084380</v>
      </c>
      <c r="N287" s="84">
        <v>276794000</v>
      </c>
      <c r="O287" s="84">
        <v>65739600</v>
      </c>
      <c r="P287" s="29">
        <v>406868884</v>
      </c>
      <c r="Q287" s="29">
        <v>432037234</v>
      </c>
      <c r="R287" s="29">
        <v>1725651032</v>
      </c>
      <c r="S287" s="29">
        <v>1528600367</v>
      </c>
      <c r="T287" s="29">
        <f t="shared" si="6"/>
        <v>197050665</v>
      </c>
      <c r="U287" s="99">
        <v>42369</v>
      </c>
    </row>
    <row r="288" spans="2:21" x14ac:dyDescent="0.25">
      <c r="B288" s="5">
        <v>79</v>
      </c>
      <c r="C288" s="29">
        <v>277</v>
      </c>
      <c r="D288" s="29">
        <v>21</v>
      </c>
      <c r="E288" s="29">
        <v>253</v>
      </c>
      <c r="F288" s="29">
        <v>23</v>
      </c>
      <c r="G288" s="29">
        <v>10402889843</v>
      </c>
      <c r="H288" s="29">
        <v>10349715043</v>
      </c>
      <c r="I288" s="29">
        <v>822597000</v>
      </c>
      <c r="J288" s="29">
        <v>5283274000</v>
      </c>
      <c r="K288" s="29">
        <v>3308562100</v>
      </c>
      <c r="L288" s="29">
        <v>0</v>
      </c>
      <c r="M288" s="29">
        <v>6140704400</v>
      </c>
      <c r="N288" s="84">
        <v>197850200</v>
      </c>
      <c r="O288" s="84">
        <v>470136100</v>
      </c>
      <c r="P288" s="29">
        <v>258854756</v>
      </c>
      <c r="Q288" s="29">
        <v>114765750</v>
      </c>
      <c r="R288" s="29">
        <v>1465780941</v>
      </c>
      <c r="S288" s="29">
        <v>1141892804</v>
      </c>
      <c r="T288" s="29">
        <f t="shared" si="6"/>
        <v>323888137</v>
      </c>
      <c r="U288" s="99">
        <v>42369</v>
      </c>
    </row>
    <row r="289" spans="2:21" x14ac:dyDescent="0.25">
      <c r="B289" s="5">
        <v>80</v>
      </c>
      <c r="C289" s="29">
        <v>185</v>
      </c>
      <c r="D289" s="29">
        <v>0</v>
      </c>
      <c r="E289" s="29">
        <v>111</v>
      </c>
      <c r="F289" s="29">
        <v>0</v>
      </c>
      <c r="G289" s="29">
        <v>1380813941.5599999</v>
      </c>
      <c r="H289" s="29">
        <v>1330382730.5599999</v>
      </c>
      <c r="I289" s="29">
        <v>174375260.5</v>
      </c>
      <c r="J289" s="29">
        <v>228669908.5</v>
      </c>
      <c r="K289" s="29">
        <v>601275977.89999998</v>
      </c>
      <c r="L289" s="29">
        <v>0</v>
      </c>
      <c r="M289" s="29">
        <v>515435029.69499993</v>
      </c>
      <c r="N289" s="84">
        <v>81566866.359999999</v>
      </c>
      <c r="O289" s="84">
        <v>0</v>
      </c>
      <c r="P289" s="29">
        <v>214864524.25</v>
      </c>
      <c r="Q289" s="29">
        <v>4192550</v>
      </c>
      <c r="R289" s="29">
        <v>280623267.98000002</v>
      </c>
      <c r="S289" s="29">
        <v>311587913.5</v>
      </c>
      <c r="T289" s="29">
        <f t="shared" si="6"/>
        <v>-30964645.519999981</v>
      </c>
      <c r="U289" s="99">
        <v>42369</v>
      </c>
    </row>
    <row r="290" spans="2:21" x14ac:dyDescent="0.25">
      <c r="B290" s="5">
        <v>83</v>
      </c>
      <c r="C290" s="29">
        <v>785</v>
      </c>
      <c r="D290" s="29">
        <v>0</v>
      </c>
      <c r="E290" s="29">
        <v>967</v>
      </c>
      <c r="F290" s="29">
        <v>0</v>
      </c>
      <c r="G290" s="29">
        <v>6015398957</v>
      </c>
      <c r="H290" s="29">
        <f>114718667+571764790+56744218+1000000000+300000000+62291600+252620100+1474344200+19518000+48000000+1787108900+97543300+35646100+150000000+30000000</f>
        <v>6000299875</v>
      </c>
      <c r="I290" s="29">
        <v>1040260000</v>
      </c>
      <c r="J290" s="29">
        <v>4270072492</v>
      </c>
      <c r="K290" s="29">
        <v>234263298</v>
      </c>
      <c r="L290" s="29">
        <v>0</v>
      </c>
      <c r="M290" s="29">
        <v>3714780600</v>
      </c>
      <c r="N290" s="84">
        <v>316999300</v>
      </c>
      <c r="O290" s="84">
        <v>117183300</v>
      </c>
      <c r="P290" s="29">
        <v>4370277</v>
      </c>
      <c r="Q290" s="29">
        <v>6837537</v>
      </c>
      <c r="R290" s="29">
        <v>779178832</v>
      </c>
      <c r="S290" s="29">
        <v>862561145</v>
      </c>
      <c r="T290" s="29">
        <f t="shared" si="6"/>
        <v>-83382313</v>
      </c>
      <c r="U290" s="99">
        <v>42369</v>
      </c>
    </row>
    <row r="291" spans="2:21" x14ac:dyDescent="0.25">
      <c r="B291" s="5">
        <v>84</v>
      </c>
      <c r="C291" s="29">
        <v>411</v>
      </c>
      <c r="D291" s="29">
        <v>0</v>
      </c>
      <c r="E291" s="29">
        <v>558</v>
      </c>
      <c r="F291" s="29">
        <v>0</v>
      </c>
      <c r="G291" s="29">
        <v>5945449200</v>
      </c>
      <c r="H291" s="29">
        <f>31359300+26226005+62260697+127113949+74621366+500000000+35880250+101953800+100791000+106119400+2462956800+1593882700+140000000+31850000</f>
        <v>5395015267</v>
      </c>
      <c r="I291" s="29">
        <v>480151396</v>
      </c>
      <c r="J291" s="29">
        <v>3925414929</v>
      </c>
      <c r="K291" s="29">
        <v>780184381</v>
      </c>
      <c r="L291" s="29">
        <v>420000000</v>
      </c>
      <c r="M291" s="29">
        <v>4177458900</v>
      </c>
      <c r="N291" s="84">
        <v>351527600</v>
      </c>
      <c r="O291" s="84">
        <v>16992500</v>
      </c>
      <c r="P291" s="29">
        <v>112472612</v>
      </c>
      <c r="Q291" s="29">
        <v>65669022</v>
      </c>
      <c r="R291" s="29">
        <v>879166271</v>
      </c>
      <c r="S291" s="29">
        <v>871891463</v>
      </c>
      <c r="T291" s="29">
        <f t="shared" si="6"/>
        <v>7274808</v>
      </c>
      <c r="U291" s="99">
        <v>42369</v>
      </c>
    </row>
    <row r="292" spans="2:21" x14ac:dyDescent="0.25">
      <c r="B292" s="5">
        <v>39</v>
      </c>
      <c r="C292" s="29">
        <v>23430</v>
      </c>
      <c r="D292" s="29">
        <v>1604</v>
      </c>
      <c r="E292" s="29">
        <v>20368</v>
      </c>
      <c r="F292" s="29">
        <v>1310</v>
      </c>
      <c r="G292" s="29">
        <v>923573937554</v>
      </c>
      <c r="H292" s="29">
        <v>850334436559</v>
      </c>
      <c r="I292" s="29">
        <v>78979039103</v>
      </c>
      <c r="J292" s="29">
        <v>653541907393</v>
      </c>
      <c r="K292" s="29">
        <v>48669676775</v>
      </c>
      <c r="L292" s="29">
        <v>4400000000</v>
      </c>
      <c r="M292" s="29">
        <v>711990030783</v>
      </c>
      <c r="N292" s="29">
        <v>45176171617</v>
      </c>
      <c r="O292" s="29">
        <v>37889869094</v>
      </c>
      <c r="P292" s="29">
        <v>15936157478</v>
      </c>
      <c r="Q292" s="29">
        <v>4767931900</v>
      </c>
      <c r="R292" s="29">
        <v>104791999374.60001</v>
      </c>
      <c r="S292" s="29">
        <v>103587406939</v>
      </c>
      <c r="T292" s="29">
        <f t="shared" si="6"/>
        <v>1204592435.6000061</v>
      </c>
      <c r="U292" s="99">
        <v>42369</v>
      </c>
    </row>
    <row r="293" spans="2:21" x14ac:dyDescent="0.25">
      <c r="B293" s="5">
        <v>41</v>
      </c>
      <c r="C293" s="29">
        <v>12580</v>
      </c>
      <c r="D293" s="29">
        <v>1056</v>
      </c>
      <c r="E293" s="29">
        <v>11416</v>
      </c>
      <c r="F293" s="29">
        <v>1105</v>
      </c>
      <c r="G293" s="29">
        <v>410606477112.85223</v>
      </c>
      <c r="H293" s="29">
        <v>389638163750.51001</v>
      </c>
      <c r="I293" s="29">
        <v>46668519100</v>
      </c>
      <c r="J293" s="29">
        <v>286424785579</v>
      </c>
      <c r="K293" s="29">
        <v>23341929376</v>
      </c>
      <c r="L293" s="29">
        <v>7541604900</v>
      </c>
      <c r="M293" s="29">
        <v>329584618045</v>
      </c>
      <c r="N293" s="29">
        <v>44268724745</v>
      </c>
      <c r="O293" s="29">
        <v>16318915250</v>
      </c>
      <c r="P293" s="29">
        <v>18958735597</v>
      </c>
      <c r="Q293" s="29">
        <v>4542408241</v>
      </c>
      <c r="R293" s="29">
        <v>56339114450.790001</v>
      </c>
      <c r="S293" s="29">
        <v>58214591237.937782</v>
      </c>
      <c r="T293" s="29">
        <f t="shared" si="6"/>
        <v>-1875476787.1477814</v>
      </c>
      <c r="U293" s="99">
        <v>42369</v>
      </c>
    </row>
    <row r="294" spans="2:21" x14ac:dyDescent="0.25">
      <c r="B294" s="5">
        <v>44</v>
      </c>
      <c r="C294" s="29">
        <v>3766</v>
      </c>
      <c r="D294" s="29">
        <v>0</v>
      </c>
      <c r="E294" s="29">
        <v>3880</v>
      </c>
      <c r="F294" s="29">
        <v>0</v>
      </c>
      <c r="G294" s="29">
        <v>159415631594</v>
      </c>
      <c r="H294" s="29">
        <v>155190234661</v>
      </c>
      <c r="I294" s="29">
        <v>6771605000</v>
      </c>
      <c r="J294" s="29">
        <v>89542901629</v>
      </c>
      <c r="K294" s="29">
        <v>15700935884</v>
      </c>
      <c r="L294" s="29">
        <v>0</v>
      </c>
      <c r="M294" s="29">
        <v>124060209440</v>
      </c>
      <c r="N294" s="29">
        <v>31581230572</v>
      </c>
      <c r="O294" s="29">
        <v>8655350000</v>
      </c>
      <c r="P294" s="29">
        <v>5065132078</v>
      </c>
      <c r="Q294" s="29">
        <v>1790852549</v>
      </c>
      <c r="R294" s="29">
        <v>14076033969</v>
      </c>
      <c r="S294" s="29">
        <v>17168109883</v>
      </c>
      <c r="T294" s="29">
        <f t="shared" si="6"/>
        <v>-3092075914</v>
      </c>
      <c r="U294" s="99">
        <v>42369</v>
      </c>
    </row>
    <row r="295" spans="2:21" x14ac:dyDescent="0.25">
      <c r="B295" s="5">
        <v>45</v>
      </c>
      <c r="C295" s="29">
        <v>17926</v>
      </c>
      <c r="D295" s="29">
        <v>0</v>
      </c>
      <c r="E295" s="29">
        <v>20955</v>
      </c>
      <c r="F295" s="29">
        <v>0</v>
      </c>
      <c r="G295" s="29">
        <v>699727051546</v>
      </c>
      <c r="H295" s="29">
        <v>683373147420</v>
      </c>
      <c r="I295" s="29">
        <v>54864883825</v>
      </c>
      <c r="J295" s="29">
        <v>479215197649.70001</v>
      </c>
      <c r="K295" s="29">
        <v>72708651275</v>
      </c>
      <c r="L295" s="29">
        <v>0</v>
      </c>
      <c r="M295" s="29">
        <v>507025005607</v>
      </c>
      <c r="N295" s="29">
        <v>37847752125</v>
      </c>
      <c r="O295" s="29">
        <v>7011275225</v>
      </c>
      <c r="P295" s="29">
        <v>20520037640</v>
      </c>
      <c r="Q295" s="29">
        <v>27661451090</v>
      </c>
      <c r="R295" s="29">
        <v>79043364231</v>
      </c>
      <c r="S295" s="29">
        <v>78621824564</v>
      </c>
      <c r="T295" s="29">
        <f t="shared" si="6"/>
        <v>421539667</v>
      </c>
      <c r="U295" s="99">
        <v>42369</v>
      </c>
    </row>
    <row r="296" spans="2:21" x14ac:dyDescent="0.25">
      <c r="B296" s="5">
        <v>48</v>
      </c>
      <c r="C296" s="29">
        <v>7388</v>
      </c>
      <c r="D296" s="29">
        <v>621</v>
      </c>
      <c r="E296" s="29">
        <v>5336</v>
      </c>
      <c r="F296" s="29">
        <v>568</v>
      </c>
      <c r="G296" s="29">
        <v>255672128546</v>
      </c>
      <c r="H296" s="29">
        <v>246287562531</v>
      </c>
      <c r="I296" s="29">
        <v>19127264600</v>
      </c>
      <c r="J296" s="29">
        <v>180552811116</v>
      </c>
      <c r="K296" s="29">
        <v>18062149810</v>
      </c>
      <c r="L296" s="29">
        <v>0</v>
      </c>
      <c r="M296" s="29">
        <v>159673400425</v>
      </c>
      <c r="N296" s="29">
        <v>23139293080</v>
      </c>
      <c r="O296" s="29">
        <v>12334537830</v>
      </c>
      <c r="P296" s="29">
        <v>8228487125</v>
      </c>
      <c r="Q296" s="29">
        <v>5334988181</v>
      </c>
      <c r="R296" s="29">
        <v>28964945851</v>
      </c>
      <c r="S296" s="29">
        <v>28400889860</v>
      </c>
      <c r="T296" s="29">
        <f t="shared" si="6"/>
        <v>564055991</v>
      </c>
      <c r="U296" s="99">
        <v>42369</v>
      </c>
    </row>
    <row r="297" spans="2:21" x14ac:dyDescent="0.25">
      <c r="B297" s="5">
        <v>49</v>
      </c>
      <c r="C297" s="29">
        <v>2646</v>
      </c>
      <c r="D297" s="29">
        <v>246</v>
      </c>
      <c r="E297" s="29">
        <v>2893</v>
      </c>
      <c r="F297" s="29">
        <v>279</v>
      </c>
      <c r="G297" s="29">
        <v>98042688500</v>
      </c>
      <c r="H297" s="29">
        <v>96022481136</v>
      </c>
      <c r="I297" s="29">
        <v>7151717800</v>
      </c>
      <c r="J297" s="29">
        <v>72636591459</v>
      </c>
      <c r="K297" s="29">
        <v>5714082450</v>
      </c>
      <c r="L297" s="29">
        <v>0</v>
      </c>
      <c r="M297" s="29">
        <v>88021547200</v>
      </c>
      <c r="N297" s="29">
        <v>24700868175</v>
      </c>
      <c r="O297" s="29">
        <v>15284833725</v>
      </c>
      <c r="P297" s="29">
        <v>2726003760</v>
      </c>
      <c r="Q297" s="29">
        <v>1286850078</v>
      </c>
      <c r="R297" s="29">
        <v>13108386174</v>
      </c>
      <c r="S297" s="29">
        <v>13094629852</v>
      </c>
      <c r="T297" s="29">
        <f t="shared" si="6"/>
        <v>13756322</v>
      </c>
      <c r="U297" s="99">
        <v>42338</v>
      </c>
    </row>
    <row r="298" spans="2:21" x14ac:dyDescent="0.25">
      <c r="B298" s="5">
        <v>58</v>
      </c>
      <c r="C298" s="29">
        <v>3132</v>
      </c>
      <c r="D298" s="29">
        <v>0</v>
      </c>
      <c r="E298" s="29">
        <v>2912</v>
      </c>
      <c r="F298" s="29">
        <v>0</v>
      </c>
      <c r="G298" s="29">
        <v>121427919515</v>
      </c>
      <c r="H298" s="29">
        <v>83640656934</v>
      </c>
      <c r="I298" s="29">
        <v>12443059449</v>
      </c>
      <c r="J298" s="29">
        <v>76855150655</v>
      </c>
      <c r="K298" s="29">
        <v>11098962820</v>
      </c>
      <c r="L298" s="29">
        <v>1933320000</v>
      </c>
      <c r="M298" s="29">
        <v>76779605720</v>
      </c>
      <c r="N298" s="29">
        <v>7141537227</v>
      </c>
      <c r="O298" s="29">
        <v>3206968424</v>
      </c>
      <c r="P298" s="29">
        <v>560849345</v>
      </c>
      <c r="Q298" s="29">
        <v>677872384</v>
      </c>
      <c r="R298" s="29">
        <v>11697161848</v>
      </c>
      <c r="S298" s="29">
        <v>13620593512</v>
      </c>
      <c r="T298" s="29">
        <f t="shared" si="6"/>
        <v>-1923431664</v>
      </c>
      <c r="U298" s="99">
        <v>42338</v>
      </c>
    </row>
    <row r="299" spans="2:21" x14ac:dyDescent="0.25">
      <c r="B299" s="5">
        <v>55</v>
      </c>
      <c r="C299" s="29">
        <v>1792</v>
      </c>
      <c r="D299" s="29">
        <v>168</v>
      </c>
      <c r="E299" s="29">
        <v>1288</v>
      </c>
      <c r="F299" s="29">
        <v>145</v>
      </c>
      <c r="G299" s="29">
        <v>36459281299</v>
      </c>
      <c r="H299" s="29">
        <v>25129675642</v>
      </c>
      <c r="I299" s="29">
        <v>4823249500</v>
      </c>
      <c r="J299" s="29">
        <v>21411132800</v>
      </c>
      <c r="K299" s="29">
        <v>6562540500</v>
      </c>
      <c r="L299" s="29">
        <v>0</v>
      </c>
      <c r="M299" s="29">
        <v>20380886050</v>
      </c>
      <c r="N299" s="29">
        <v>2673487950</v>
      </c>
      <c r="O299" s="29">
        <v>9255815800</v>
      </c>
      <c r="P299" s="29">
        <v>1662208116</v>
      </c>
      <c r="Q299" s="29">
        <v>352819717</v>
      </c>
      <c r="R299" s="29">
        <v>1868153891</v>
      </c>
      <c r="S299" s="29">
        <v>2877067760</v>
      </c>
      <c r="T299" s="29">
        <f t="shared" si="6"/>
        <v>-1008913869</v>
      </c>
      <c r="U299" s="99">
        <v>42369</v>
      </c>
    </row>
    <row r="300" spans="2:21" x14ac:dyDescent="0.25">
      <c r="B300" s="73">
        <v>56</v>
      </c>
      <c r="C300" s="27">
        <v>1296</v>
      </c>
      <c r="D300" s="27">
        <v>38</v>
      </c>
      <c r="E300" s="27">
        <v>945</v>
      </c>
      <c r="F300" s="27">
        <v>31</v>
      </c>
      <c r="G300" s="27">
        <v>25483183762</v>
      </c>
      <c r="H300" s="27">
        <v>16385425387</v>
      </c>
      <c r="I300" s="27">
        <v>2548577725</v>
      </c>
      <c r="J300" s="27">
        <v>18755184250</v>
      </c>
      <c r="K300" s="27">
        <v>2370069525</v>
      </c>
      <c r="L300" s="27">
        <v>1431166600</v>
      </c>
      <c r="M300" s="27">
        <v>14300935725</v>
      </c>
      <c r="N300" s="27">
        <v>4572683075</v>
      </c>
      <c r="O300" s="27">
        <v>6266216350</v>
      </c>
      <c r="P300" s="27">
        <v>761249949</v>
      </c>
      <c r="Q300" s="27">
        <v>112486506</v>
      </c>
      <c r="R300" s="27">
        <v>779999247</v>
      </c>
      <c r="S300" s="27">
        <v>1092010866</v>
      </c>
      <c r="T300" s="27">
        <f t="shared" si="6"/>
        <v>-312011619</v>
      </c>
      <c r="U300" s="110">
        <v>41517</v>
      </c>
    </row>
    <row r="301" spans="2:21" x14ac:dyDescent="0.25">
      <c r="B301" s="5">
        <v>60</v>
      </c>
      <c r="C301" s="29">
        <v>1520</v>
      </c>
      <c r="D301" s="29">
        <v>109</v>
      </c>
      <c r="E301" s="29">
        <v>2051</v>
      </c>
      <c r="F301" s="29">
        <v>93</v>
      </c>
      <c r="G301" s="29">
        <v>34150079008</v>
      </c>
      <c r="H301" s="29">
        <v>31944445927</v>
      </c>
      <c r="I301" s="29">
        <v>5036950000</v>
      </c>
      <c r="J301" s="29">
        <v>17426025000</v>
      </c>
      <c r="K301" s="29">
        <f>23952137000-J301</f>
        <v>6526112000</v>
      </c>
      <c r="L301" s="29">
        <v>0</v>
      </c>
      <c r="M301" s="29">
        <v>24129030000</v>
      </c>
      <c r="N301" s="29">
        <v>4540165500</v>
      </c>
      <c r="O301" s="29">
        <v>7640708000</v>
      </c>
      <c r="P301" s="29">
        <v>2450752413</v>
      </c>
      <c r="Q301" s="29">
        <v>352933449</v>
      </c>
      <c r="R301" s="29">
        <f>194165567+13489360</f>
        <v>207654927</v>
      </c>
      <c r="S301" s="29">
        <v>200016050</v>
      </c>
      <c r="T301" s="29">
        <f t="shared" ref="T301:T314" si="7">R301-S301</f>
        <v>7638877</v>
      </c>
      <c r="U301" s="112">
        <v>42400</v>
      </c>
    </row>
    <row r="302" spans="2:21" x14ac:dyDescent="0.25">
      <c r="B302" s="5">
        <v>61</v>
      </c>
      <c r="C302" s="29">
        <v>1394</v>
      </c>
      <c r="D302" s="29">
        <v>99</v>
      </c>
      <c r="E302" s="29">
        <v>1519</v>
      </c>
      <c r="F302" s="29">
        <v>98</v>
      </c>
      <c r="G302" s="29">
        <v>42756496443</v>
      </c>
      <c r="H302" s="29">
        <v>39796076643</v>
      </c>
      <c r="I302" s="29">
        <v>4576430000</v>
      </c>
      <c r="J302" s="29">
        <v>25880841050</v>
      </c>
      <c r="K302" s="29">
        <v>7097538300</v>
      </c>
      <c r="L302" s="29">
        <v>95000000</v>
      </c>
      <c r="M302" s="29">
        <v>30486988900</v>
      </c>
      <c r="N302" s="29">
        <v>3491963400</v>
      </c>
      <c r="O302" s="29">
        <v>1345693900</v>
      </c>
      <c r="P302" s="29">
        <v>1517334320</v>
      </c>
      <c r="Q302" s="29">
        <v>285596863</v>
      </c>
      <c r="R302" s="29">
        <v>5358769597</v>
      </c>
      <c r="S302" s="29">
        <v>4935974840</v>
      </c>
      <c r="T302" s="29">
        <f t="shared" si="7"/>
        <v>422794757</v>
      </c>
      <c r="U302" s="99">
        <v>42369</v>
      </c>
    </row>
    <row r="303" spans="2:21" x14ac:dyDescent="0.25">
      <c r="B303" s="5">
        <v>62</v>
      </c>
      <c r="C303" s="29">
        <v>10543</v>
      </c>
      <c r="D303" s="29">
        <v>1711</v>
      </c>
      <c r="E303" s="29">
        <v>16895</v>
      </c>
      <c r="F303" s="29">
        <v>1752</v>
      </c>
      <c r="G303" s="29">
        <v>353445593220</v>
      </c>
      <c r="H303" s="29">
        <v>325801553294</v>
      </c>
      <c r="I303" s="29">
        <v>47565304700</v>
      </c>
      <c r="J303" s="29">
        <v>196219895750</v>
      </c>
      <c r="K303" s="29">
        <v>65035183625</v>
      </c>
      <c r="L303" s="29">
        <v>487500000</v>
      </c>
      <c r="M303" s="29">
        <v>218044319450</v>
      </c>
      <c r="N303" s="29">
        <v>13468932150</v>
      </c>
      <c r="O303" s="29">
        <v>916544900</v>
      </c>
      <c r="P303" s="29">
        <v>17009144995</v>
      </c>
      <c r="Q303" s="29">
        <v>3290971836</v>
      </c>
      <c r="R303" s="29">
        <v>46189427192</v>
      </c>
      <c r="S303" s="29">
        <v>44941935321</v>
      </c>
      <c r="T303" s="29">
        <f t="shared" si="7"/>
        <v>1247491871</v>
      </c>
      <c r="U303" s="99">
        <v>42369</v>
      </c>
    </row>
    <row r="304" spans="2:21" x14ac:dyDescent="0.25">
      <c r="B304" s="5">
        <v>64</v>
      </c>
      <c r="C304" s="29">
        <v>5243</v>
      </c>
      <c r="D304" s="29">
        <v>434</v>
      </c>
      <c r="E304" s="29">
        <v>5097</v>
      </c>
      <c r="F304" s="29">
        <v>406</v>
      </c>
      <c r="G304" s="29">
        <v>164813864509</v>
      </c>
      <c r="H304" s="29">
        <v>158956513132</v>
      </c>
      <c r="I304" s="29">
        <v>16492090000</v>
      </c>
      <c r="J304" s="29">
        <v>87544227700</v>
      </c>
      <c r="K304" s="29">
        <v>45046306550</v>
      </c>
      <c r="L304" s="29">
        <v>0</v>
      </c>
      <c r="M304" s="29">
        <v>104014291200</v>
      </c>
      <c r="N304" s="29">
        <v>5308217350</v>
      </c>
      <c r="O304" s="29">
        <v>3189165850</v>
      </c>
      <c r="P304" s="29">
        <v>6309362088</v>
      </c>
      <c r="Q304" s="29">
        <v>1391672529</v>
      </c>
      <c r="R304" s="29">
        <v>23125831633</v>
      </c>
      <c r="S304" s="29">
        <v>22712040377</v>
      </c>
      <c r="T304" s="29">
        <f t="shared" si="7"/>
        <v>413791256</v>
      </c>
      <c r="U304" s="99">
        <v>42369</v>
      </c>
    </row>
    <row r="305" spans="2:21" x14ac:dyDescent="0.25">
      <c r="B305" s="5">
        <v>65</v>
      </c>
      <c r="C305" s="29">
        <v>1646</v>
      </c>
      <c r="D305" s="29">
        <v>60</v>
      </c>
      <c r="E305" s="29">
        <v>1553</v>
      </c>
      <c r="F305" s="29">
        <v>51</v>
      </c>
      <c r="G305" s="29">
        <v>57343607778</v>
      </c>
      <c r="H305" s="29">
        <v>56583147902</v>
      </c>
      <c r="I305" s="29">
        <v>4205385000</v>
      </c>
      <c r="J305" s="29">
        <v>36412854600</v>
      </c>
      <c r="K305" s="29">
        <v>12227402700</v>
      </c>
      <c r="L305" s="29">
        <v>0</v>
      </c>
      <c r="M305" s="29">
        <v>36440745450</v>
      </c>
      <c r="N305" s="29">
        <v>3164253700</v>
      </c>
      <c r="O305" s="29">
        <v>2113173700</v>
      </c>
      <c r="P305" s="29">
        <v>1654137317</v>
      </c>
      <c r="Q305" s="29">
        <v>266567731</v>
      </c>
      <c r="R305" s="29">
        <v>6593233808</v>
      </c>
      <c r="S305" s="29">
        <v>6234561370</v>
      </c>
      <c r="T305" s="29">
        <f t="shared" si="7"/>
        <v>358672438</v>
      </c>
      <c r="U305" s="99">
        <v>42369</v>
      </c>
    </row>
    <row r="306" spans="2:21" x14ac:dyDescent="0.25">
      <c r="B306" s="5">
        <v>66</v>
      </c>
      <c r="C306" s="29">
        <v>4290</v>
      </c>
      <c r="D306" s="29">
        <v>257</v>
      </c>
      <c r="E306" s="29">
        <v>4505</v>
      </c>
      <c r="F306" s="29">
        <v>171</v>
      </c>
      <c r="G306" s="29">
        <v>116721604464</v>
      </c>
      <c r="H306" s="29">
        <v>106686105426</v>
      </c>
      <c r="I306" s="29">
        <v>12006340000</v>
      </c>
      <c r="J306" s="29">
        <v>73082469150</v>
      </c>
      <c r="K306" s="29">
        <v>22387236740</v>
      </c>
      <c r="L306" s="29">
        <v>0</v>
      </c>
      <c r="M306" s="29">
        <v>90039936550</v>
      </c>
      <c r="N306" s="102">
        <v>6867779100</v>
      </c>
      <c r="O306" s="84">
        <v>844807550</v>
      </c>
      <c r="P306" s="29">
        <v>1656593405</v>
      </c>
      <c r="Q306" s="29">
        <v>176662100</v>
      </c>
      <c r="R306" s="29">
        <v>11706773873</v>
      </c>
      <c r="S306" s="29">
        <v>11575692475</v>
      </c>
      <c r="T306" s="29">
        <f t="shared" si="7"/>
        <v>131081398</v>
      </c>
      <c r="U306" s="99">
        <v>42369</v>
      </c>
    </row>
    <row r="307" spans="2:21" x14ac:dyDescent="0.25">
      <c r="B307" s="5">
        <v>67</v>
      </c>
      <c r="C307" s="29">
        <v>9546</v>
      </c>
      <c r="D307" s="29">
        <v>749</v>
      </c>
      <c r="E307" s="29">
        <v>12353</v>
      </c>
      <c r="F307" s="29">
        <v>714</v>
      </c>
      <c r="G307" s="29">
        <v>298340445451</v>
      </c>
      <c r="H307" s="29">
        <v>289550347973</v>
      </c>
      <c r="I307" s="29">
        <v>41405931850</v>
      </c>
      <c r="J307" s="29">
        <v>156317149530</v>
      </c>
      <c r="K307" s="29">
        <f>224466952130-J307</f>
        <v>68149802600</v>
      </c>
      <c r="L307" s="29">
        <v>0</v>
      </c>
      <c r="M307" s="29">
        <v>196252034150</v>
      </c>
      <c r="N307" s="29">
        <v>16297221400</v>
      </c>
      <c r="O307" s="29">
        <v>3713672150</v>
      </c>
      <c r="P307" s="29">
        <v>8381130799</v>
      </c>
      <c r="Q307" s="29">
        <v>3424095729</v>
      </c>
      <c r="R307" s="29">
        <f>2142429750+301383018</f>
        <v>2443812768</v>
      </c>
      <c r="S307" s="29">
        <v>2386058722</v>
      </c>
      <c r="T307" s="29">
        <f t="shared" si="7"/>
        <v>57754046</v>
      </c>
      <c r="U307" s="112">
        <v>42400</v>
      </c>
    </row>
    <row r="308" spans="2:21" x14ac:dyDescent="0.25">
      <c r="B308" s="5">
        <v>68</v>
      </c>
      <c r="C308" s="29">
        <v>899</v>
      </c>
      <c r="D308" s="29">
        <v>36</v>
      </c>
      <c r="E308" s="29">
        <v>1331</v>
      </c>
      <c r="F308" s="29">
        <v>42</v>
      </c>
      <c r="G308" s="29">
        <v>22625818476</v>
      </c>
      <c r="H308" s="29">
        <v>19854741988</v>
      </c>
      <c r="I308" s="29">
        <v>2261680900</v>
      </c>
      <c r="J308" s="29">
        <v>10206570069</v>
      </c>
      <c r="K308" s="29">
        <v>5635913266</v>
      </c>
      <c r="L308" s="29">
        <v>1799999600</v>
      </c>
      <c r="M308" s="100">
        <v>14207968350</v>
      </c>
      <c r="N308" s="29">
        <v>763726050</v>
      </c>
      <c r="O308" s="29">
        <v>342383800</v>
      </c>
      <c r="P308" s="29">
        <v>757593259</v>
      </c>
      <c r="Q308" s="29">
        <v>269784106</v>
      </c>
      <c r="R308" s="29">
        <v>3510174527</v>
      </c>
      <c r="S308" s="29">
        <v>3458227094</v>
      </c>
      <c r="T308" s="29">
        <f t="shared" si="7"/>
        <v>51947433</v>
      </c>
      <c r="U308" s="99">
        <v>42369</v>
      </c>
    </row>
    <row r="309" spans="2:21" x14ac:dyDescent="0.25">
      <c r="B309" s="5">
        <v>71</v>
      </c>
      <c r="C309" s="29">
        <v>1911</v>
      </c>
      <c r="D309" s="29"/>
      <c r="E309" s="29">
        <v>2832</v>
      </c>
      <c r="F309" s="29"/>
      <c r="G309" s="29">
        <v>66379301940</v>
      </c>
      <c r="H309" s="29">
        <v>59529845582</v>
      </c>
      <c r="I309" s="29">
        <v>7983700000</v>
      </c>
      <c r="J309" s="29">
        <v>36218135150</v>
      </c>
      <c r="K309" s="29">
        <v>10542339140</v>
      </c>
      <c r="L309" s="29">
        <v>0</v>
      </c>
      <c r="M309" s="29">
        <v>49937016300</v>
      </c>
      <c r="N309" s="29">
        <v>8747903000</v>
      </c>
      <c r="O309" s="29">
        <v>5223374500</v>
      </c>
      <c r="P309" s="29">
        <v>5619004345</v>
      </c>
      <c r="Q309" s="29">
        <v>817004741</v>
      </c>
      <c r="R309" s="29">
        <v>6312959758</v>
      </c>
      <c r="S309" s="29">
        <v>6163510850</v>
      </c>
      <c r="T309" s="29">
        <f t="shared" si="7"/>
        <v>149448908</v>
      </c>
      <c r="U309" s="99">
        <v>42369</v>
      </c>
    </row>
    <row r="310" spans="2:21" x14ac:dyDescent="0.25">
      <c r="B310" s="5">
        <v>72</v>
      </c>
      <c r="C310" s="29">
        <v>567</v>
      </c>
      <c r="D310" s="29">
        <v>115</v>
      </c>
      <c r="E310" s="29">
        <v>732</v>
      </c>
      <c r="F310" s="29">
        <v>74</v>
      </c>
      <c r="G310" s="29">
        <v>14115337164</v>
      </c>
      <c r="H310" s="29">
        <v>13824032857</v>
      </c>
      <c r="I310" s="29">
        <v>2111625000</v>
      </c>
      <c r="J310" s="29">
        <v>9199766950</v>
      </c>
      <c r="K310" s="29">
        <v>1217329050</v>
      </c>
      <c r="L310" s="29">
        <v>0</v>
      </c>
      <c r="M310" s="29">
        <v>9002763750</v>
      </c>
      <c r="N310" s="29">
        <v>1115430950</v>
      </c>
      <c r="O310" s="29">
        <v>19122200</v>
      </c>
      <c r="P310" s="29">
        <v>415732300</v>
      </c>
      <c r="Q310" s="29">
        <v>146875658</v>
      </c>
      <c r="R310" s="29">
        <v>2088608736</v>
      </c>
      <c r="S310" s="29">
        <v>2069333230</v>
      </c>
      <c r="T310" s="29">
        <f t="shared" si="7"/>
        <v>19275506</v>
      </c>
      <c r="U310" s="99">
        <v>42369</v>
      </c>
    </row>
    <row r="311" spans="2:21" x14ac:dyDescent="0.25">
      <c r="B311" s="5">
        <v>74</v>
      </c>
      <c r="C311" s="29">
        <v>500</v>
      </c>
      <c r="D311" s="29">
        <v>107</v>
      </c>
      <c r="E311" s="29">
        <v>565</v>
      </c>
      <c r="F311" s="29">
        <v>97</v>
      </c>
      <c r="G311" s="29">
        <v>39083506151</v>
      </c>
      <c r="H311" s="29">
        <v>37308225500</v>
      </c>
      <c r="I311" s="29">
        <v>2901719000</v>
      </c>
      <c r="J311" s="29">
        <v>21643491395</v>
      </c>
      <c r="K311" s="29">
        <v>10436595574</v>
      </c>
      <c r="L311" s="29">
        <v>883333100</v>
      </c>
      <c r="M311" s="29">
        <v>28081263000</v>
      </c>
      <c r="N311" s="29">
        <v>1052309000</v>
      </c>
      <c r="O311" s="29">
        <v>97063000</v>
      </c>
      <c r="P311" s="29">
        <v>1410718143</v>
      </c>
      <c r="Q311" s="29">
        <v>585907932</v>
      </c>
      <c r="R311" s="29">
        <v>4165040817</v>
      </c>
      <c r="S311" s="29">
        <v>4164996489</v>
      </c>
      <c r="T311" s="29">
        <f t="shared" si="7"/>
        <v>44328</v>
      </c>
      <c r="U311" s="99">
        <v>42369</v>
      </c>
    </row>
    <row r="312" spans="2:21" x14ac:dyDescent="0.25">
      <c r="B312" s="5">
        <v>75</v>
      </c>
      <c r="C312" s="29">
        <v>1029</v>
      </c>
      <c r="D312" s="29">
        <v>68</v>
      </c>
      <c r="E312" s="29">
        <v>1038</v>
      </c>
      <c r="F312" s="29">
        <v>57</v>
      </c>
      <c r="G312" s="29">
        <v>34881768461</v>
      </c>
      <c r="H312" s="29">
        <v>34229331211</v>
      </c>
      <c r="I312" s="29">
        <v>2990385000</v>
      </c>
      <c r="J312" s="29">
        <v>23080610800</v>
      </c>
      <c r="K312" s="29">
        <v>4194835100</v>
      </c>
      <c r="L312" s="29">
        <v>24994000</v>
      </c>
      <c r="M312" s="29">
        <v>20655654450</v>
      </c>
      <c r="N312" s="29">
        <v>2098180950</v>
      </c>
      <c r="O312" s="29">
        <v>613956900</v>
      </c>
      <c r="P312" s="29">
        <v>2242006850</v>
      </c>
      <c r="Q312" s="29">
        <v>30694500</v>
      </c>
      <c r="R312" s="29">
        <v>5630337439</v>
      </c>
      <c r="S312" s="29">
        <v>5272858778</v>
      </c>
      <c r="T312" s="29">
        <f t="shared" si="7"/>
        <v>357478661</v>
      </c>
      <c r="U312" s="99">
        <v>42369</v>
      </c>
    </row>
    <row r="313" spans="2:21" x14ac:dyDescent="0.25">
      <c r="B313" s="5">
        <v>81</v>
      </c>
      <c r="C313" s="29">
        <v>374</v>
      </c>
      <c r="D313" s="29">
        <v>5</v>
      </c>
      <c r="E313" s="29">
        <v>331</v>
      </c>
      <c r="F313" s="29">
        <v>6</v>
      </c>
      <c r="G313" s="29">
        <v>8245756345</v>
      </c>
      <c r="H313" s="29">
        <v>8138199345</v>
      </c>
      <c r="I313" s="29">
        <v>924580000</v>
      </c>
      <c r="J313" s="29">
        <v>5871368300</v>
      </c>
      <c r="K313" s="29">
        <v>734073000</v>
      </c>
      <c r="L313" s="29">
        <v>0</v>
      </c>
      <c r="M313" s="29">
        <v>5318796800</v>
      </c>
      <c r="N313" s="29">
        <v>867750200</v>
      </c>
      <c r="O313" s="29">
        <v>55398500</v>
      </c>
      <c r="P313" s="29">
        <v>178360105</v>
      </c>
      <c r="Q313" s="29">
        <v>37593637</v>
      </c>
      <c r="R313" s="29">
        <v>1041448271</v>
      </c>
      <c r="S313" s="29">
        <v>1054246731</v>
      </c>
      <c r="T313" s="29">
        <f t="shared" si="7"/>
        <v>-12798460</v>
      </c>
      <c r="U313" s="99">
        <v>42369</v>
      </c>
    </row>
    <row r="314" spans="2:21" x14ac:dyDescent="0.25">
      <c r="B314" s="5">
        <v>82</v>
      </c>
      <c r="C314" s="29">
        <v>482</v>
      </c>
      <c r="D314" s="29"/>
      <c r="E314" s="29">
        <v>569</v>
      </c>
      <c r="F314" s="29"/>
      <c r="G314" s="29">
        <v>3221532607</v>
      </c>
      <c r="H314" s="29">
        <v>2862970323</v>
      </c>
      <c r="I314" s="29">
        <v>290865850</v>
      </c>
      <c r="J314" s="29">
        <v>1302802300</v>
      </c>
      <c r="K314" s="29">
        <v>989351335</v>
      </c>
      <c r="L314" s="29">
        <v>186666400</v>
      </c>
      <c r="M314" s="29">
        <v>2156823100</v>
      </c>
      <c r="N314" s="84">
        <v>292279200</v>
      </c>
      <c r="O314" s="84">
        <v>16049500</v>
      </c>
      <c r="P314" s="29">
        <v>79018070</v>
      </c>
      <c r="Q314" s="29">
        <v>103047033</v>
      </c>
      <c r="R314" s="29">
        <v>502354231</v>
      </c>
      <c r="S314" s="29">
        <v>481292682</v>
      </c>
      <c r="T314" s="29">
        <f t="shared" si="7"/>
        <v>21061549</v>
      </c>
      <c r="U314" s="99">
        <v>42369</v>
      </c>
    </row>
  </sheetData>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Laurensius Tony</dc:creator>
  <cp:lastModifiedBy>Laurensius Tony</cp:lastModifiedBy>
  <dcterms:created xsi:type="dcterms:W3CDTF">2016-11-08T06:19:47Z</dcterms:created>
  <dcterms:modified xsi:type="dcterms:W3CDTF">2016-11-10T13:14:18Z</dcterms:modified>
</cp:coreProperties>
</file>