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2.xml" ContentType="application/vnd.ms-excel.person+xml"/>
  <Override PartName="/xl/persons/person0.xml" ContentType="application/vnd.ms-excel.person+xml"/>
  <Override PartName="/xl/persons/person1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2fc25a1537fd8fb/Документы/Электротехника/"/>
    </mc:Choice>
  </mc:AlternateContent>
  <xr:revisionPtr revIDLastSave="13" documentId="8_{9ADC9C2A-7DC4-4D5C-ABF9-8F3E2C738F2A}" xr6:coauthVersionLast="47" xr6:coauthVersionMax="47" xr10:uidLastSave="{889C4C2A-EF20-44B3-BF8F-586FB8D5E6C6}"/>
  <bookViews>
    <workbookView xWindow="-120" yWindow="-120" windowWidth="29040" windowHeight="15720" activeTab="2" xr2:uid="{C9C06AF4-277E-4D28-991A-DF2913934B43}"/>
  </bookViews>
  <sheets>
    <sheet name="Лист1" sheetId="1" r:id="rId1"/>
    <sheet name="Лист2" sheetId="2" r:id="rId2"/>
    <sheet name="Лист3" sheetId="3" r:id="rId3"/>
  </sheets>
  <definedNames>
    <definedName name="solver_adj" localSheetId="1" hidden="1">Лист2!$B$6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0</definedName>
    <definedName name="solver_nwt" localSheetId="1" hidden="1">1</definedName>
    <definedName name="solver_opt" localSheetId="1" hidden="1">Лист2!$B$4</definedName>
    <definedName name="solver_pre" localSheetId="1" hidden="1">0.000001</definedName>
    <definedName name="solver_rbv" localSheetId="1" hidden="1">1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3</definedName>
    <definedName name="solver_val" localSheetId="1" hidden="1">0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4" i="3" l="1"/>
  <c r="AE5" i="3"/>
  <c r="AE6" i="3"/>
  <c r="AE7" i="3"/>
  <c r="AE8" i="3"/>
  <c r="AE9" i="3"/>
  <c r="AE10" i="3"/>
  <c r="AE11" i="3"/>
  <c r="AE12" i="3"/>
  <c r="AE13" i="3"/>
  <c r="AE14" i="3"/>
  <c r="AE15" i="3"/>
  <c r="AE3" i="3"/>
  <c r="AH3" i="3"/>
  <c r="AD15" i="3" l="1"/>
  <c r="AD14" i="3"/>
  <c r="AD13" i="3"/>
  <c r="AD12" i="3"/>
  <c r="AD11" i="3"/>
  <c r="AD10" i="3"/>
  <c r="AD9" i="3"/>
  <c r="AD8" i="3"/>
  <c r="AD7" i="3"/>
  <c r="AD6" i="3"/>
  <c r="AD5" i="3"/>
  <c r="AD4" i="3"/>
  <c r="AC4" i="3"/>
  <c r="AC5" i="3" s="1"/>
  <c r="AC6" i="3" s="1"/>
  <c r="AC7" i="3" s="1"/>
  <c r="AC8" i="3" s="1"/>
  <c r="AC9" i="3" s="1"/>
  <c r="AC10" i="3" s="1"/>
  <c r="AC11" i="3" s="1"/>
  <c r="AC12" i="3" s="1"/>
  <c r="AC13" i="3" s="1"/>
  <c r="AC14" i="3" s="1"/>
  <c r="AC15" i="3" s="1"/>
  <c r="AD3" i="3"/>
  <c r="B8" i="3" l="1"/>
  <c r="Z4" i="3"/>
  <c r="Z5" i="3"/>
  <c r="Z6" i="3"/>
  <c r="Z7" i="3"/>
  <c r="Z8" i="3"/>
  <c r="Z9" i="3"/>
  <c r="Z10" i="3"/>
  <c r="Z11" i="3"/>
  <c r="Z12" i="3"/>
  <c r="Z13" i="3"/>
  <c r="Z14" i="3"/>
  <c r="Z15" i="3"/>
  <c r="Z16" i="3"/>
  <c r="Z17" i="3"/>
  <c r="Z18" i="3"/>
  <c r="Z19" i="3"/>
  <c r="Z20" i="3"/>
  <c r="Z21" i="3"/>
  <c r="Z22" i="3"/>
  <c r="Z23" i="3"/>
  <c r="Z24" i="3"/>
  <c r="Z25" i="3"/>
  <c r="Z26" i="3"/>
  <c r="Z27" i="3"/>
  <c r="Z28" i="3"/>
  <c r="Z29" i="3"/>
  <c r="Z30" i="3"/>
  <c r="Z31" i="3"/>
  <c r="Z32" i="3"/>
  <c r="Z33" i="3"/>
  <c r="Z34" i="3"/>
  <c r="Z35" i="3"/>
  <c r="Z36" i="3"/>
  <c r="Z37" i="3"/>
  <c r="Z38" i="3"/>
  <c r="Z39" i="3"/>
  <c r="Z40" i="3"/>
  <c r="Z41" i="3"/>
  <c r="Z42" i="3"/>
  <c r="Z43" i="3"/>
  <c r="Z44" i="3"/>
  <c r="Z45" i="3"/>
  <c r="Z46" i="3"/>
  <c r="Z47" i="3"/>
  <c r="Z48" i="3"/>
  <c r="Z49" i="3"/>
  <c r="Z50" i="3"/>
  <c r="Z51" i="3"/>
  <c r="Z52" i="3"/>
  <c r="Z53" i="3"/>
  <c r="Z54" i="3"/>
  <c r="Z55" i="3"/>
  <c r="Z56" i="3"/>
  <c r="Z57" i="3"/>
  <c r="Z58" i="3"/>
  <c r="Z59" i="3"/>
  <c r="Z60" i="3"/>
  <c r="Z61" i="3"/>
  <c r="Z62" i="3"/>
  <c r="Z63" i="3"/>
  <c r="Z64" i="3"/>
  <c r="Z65" i="3"/>
  <c r="Z66" i="3"/>
  <c r="Z67" i="3"/>
  <c r="Z68" i="3"/>
  <c r="Z69" i="3"/>
  <c r="Z70" i="3"/>
  <c r="Z71" i="3"/>
  <c r="Z72" i="3"/>
  <c r="Z73" i="3"/>
  <c r="Z74" i="3"/>
  <c r="Z75" i="3"/>
  <c r="Y4" i="3"/>
  <c r="Y5" i="3"/>
  <c r="Y6" i="3"/>
  <c r="Y7" i="3"/>
  <c r="Y8" i="3"/>
  <c r="Y9" i="3"/>
  <c r="Y10" i="3"/>
  <c r="Y11" i="3"/>
  <c r="Y12" i="3"/>
  <c r="Y13" i="3"/>
  <c r="Y14" i="3"/>
  <c r="Y15" i="3"/>
  <c r="Y16" i="3"/>
  <c r="Y17" i="3"/>
  <c r="Y18" i="3"/>
  <c r="Y19" i="3"/>
  <c r="Y20" i="3"/>
  <c r="Y21" i="3"/>
  <c r="Y22" i="3"/>
  <c r="Y23" i="3"/>
  <c r="Y24" i="3"/>
  <c r="Y25" i="3"/>
  <c r="Y26" i="3"/>
  <c r="Y27" i="3"/>
  <c r="Y28" i="3"/>
  <c r="Y29" i="3"/>
  <c r="Y30" i="3"/>
  <c r="Y31" i="3"/>
  <c r="Y32" i="3"/>
  <c r="Y33" i="3"/>
  <c r="Y34" i="3"/>
  <c r="Y35" i="3"/>
  <c r="Y36" i="3"/>
  <c r="Y37" i="3"/>
  <c r="Y38" i="3"/>
  <c r="Y39" i="3"/>
  <c r="Y40" i="3"/>
  <c r="Y41" i="3"/>
  <c r="Y42" i="3"/>
  <c r="Y43" i="3"/>
  <c r="Y44" i="3"/>
  <c r="Y45" i="3"/>
  <c r="Y46" i="3"/>
  <c r="Y47" i="3"/>
  <c r="Y48" i="3"/>
  <c r="Y49" i="3"/>
  <c r="Y50" i="3"/>
  <c r="Y51" i="3"/>
  <c r="Y52" i="3"/>
  <c r="Y53" i="3"/>
  <c r="Y54" i="3"/>
  <c r="Y55" i="3"/>
  <c r="Y56" i="3"/>
  <c r="Y57" i="3"/>
  <c r="Y58" i="3"/>
  <c r="Y59" i="3"/>
  <c r="Y60" i="3"/>
  <c r="Y61" i="3"/>
  <c r="Y62" i="3"/>
  <c r="Y63" i="3"/>
  <c r="Y64" i="3"/>
  <c r="Y65" i="3"/>
  <c r="Y66" i="3"/>
  <c r="Y67" i="3"/>
  <c r="Y68" i="3"/>
  <c r="Y69" i="3"/>
  <c r="Y70" i="3"/>
  <c r="Y71" i="3"/>
  <c r="Y72" i="3"/>
  <c r="Y73" i="3"/>
  <c r="Y74" i="3"/>
  <c r="Y75" i="3"/>
  <c r="Y3" i="3"/>
  <c r="A22" i="3"/>
  <c r="W4" i="3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53" i="3"/>
  <c r="W54" i="3"/>
  <c r="W55" i="3"/>
  <c r="W56" i="3"/>
  <c r="W57" i="3"/>
  <c r="W58" i="3"/>
  <c r="W59" i="3"/>
  <c r="W60" i="3"/>
  <c r="W61" i="3"/>
  <c r="W62" i="3"/>
  <c r="W63" i="3"/>
  <c r="W64" i="3"/>
  <c r="W65" i="3"/>
  <c r="W66" i="3"/>
  <c r="W67" i="3"/>
  <c r="W68" i="3"/>
  <c r="W69" i="3"/>
  <c r="W70" i="3"/>
  <c r="W71" i="3"/>
  <c r="W72" i="3"/>
  <c r="W73" i="3"/>
  <c r="W74" i="3"/>
  <c r="W75" i="3"/>
  <c r="W3" i="3"/>
  <c r="A19" i="3"/>
  <c r="Q27" i="3"/>
  <c r="P27" i="3"/>
  <c r="P15" i="3"/>
  <c r="P11" i="3"/>
  <c r="Q7" i="3"/>
  <c r="Q8" i="3" s="1"/>
  <c r="P7" i="3"/>
  <c r="R3" i="3"/>
  <c r="Q3" i="3"/>
  <c r="R23" i="3"/>
  <c r="N5" i="3"/>
  <c r="P35" i="3" s="1"/>
  <c r="N4" i="3"/>
  <c r="P3" i="3" s="1"/>
  <c r="G27" i="3"/>
  <c r="H23" i="3"/>
  <c r="D5" i="3"/>
  <c r="F7" i="3"/>
  <c r="G3" i="3"/>
  <c r="V4" i="3"/>
  <c r="V5" i="3" s="1"/>
  <c r="V6" i="3" s="1"/>
  <c r="U6" i="3" s="1"/>
  <c r="U3" i="3"/>
  <c r="Q15" i="3" l="1"/>
  <c r="Q28" i="3"/>
  <c r="R31" i="3" s="1"/>
  <c r="Q4" i="3"/>
  <c r="Q11" i="3" s="1"/>
  <c r="Q12" i="3" s="1"/>
  <c r="P19" i="3" s="1"/>
  <c r="Z3" i="3"/>
  <c r="Q16" i="3"/>
  <c r="R19" i="3" s="1"/>
  <c r="X6" i="3"/>
  <c r="U4" i="3"/>
  <c r="U5" i="3"/>
  <c r="X5" i="3" s="1"/>
  <c r="D3" i="3"/>
  <c r="F11" i="3" s="1"/>
  <c r="F3" i="3"/>
  <c r="F15" i="3"/>
  <c r="D4" i="3"/>
  <c r="X3" i="3"/>
  <c r="V7" i="3"/>
  <c r="X4" i="3"/>
  <c r="Q20" i="3" l="1"/>
  <c r="H3" i="3"/>
  <c r="F35" i="3"/>
  <c r="F27" i="3"/>
  <c r="G7" i="3"/>
  <c r="G8" i="3" s="1"/>
  <c r="G4" i="3"/>
  <c r="G11" i="3" s="1"/>
  <c r="G12" i="3" s="1"/>
  <c r="F19" i="3" s="1"/>
  <c r="U7" i="3"/>
  <c r="V8" i="3"/>
  <c r="Q24" i="3" l="1"/>
  <c r="P23" i="3"/>
  <c r="G15" i="3"/>
  <c r="G16" i="3" s="1"/>
  <c r="H19" i="3" s="1"/>
  <c r="G20" i="3" s="1"/>
  <c r="F23" i="3" s="1"/>
  <c r="G24" i="3" s="1"/>
  <c r="F31" i="3" s="1"/>
  <c r="G32" i="3" s="1"/>
  <c r="G35" i="3" s="1"/>
  <c r="G36" i="3" s="1"/>
  <c r="B10" i="3" s="1"/>
  <c r="G28" i="3"/>
  <c r="H31" i="3"/>
  <c r="V9" i="3"/>
  <c r="U8" i="3"/>
  <c r="X7" i="3"/>
  <c r="P31" i="3" l="1"/>
  <c r="Q32" i="3" s="1"/>
  <c r="X8" i="3"/>
  <c r="U9" i="3"/>
  <c r="V10" i="3"/>
  <c r="Q36" i="3" l="1"/>
  <c r="B11" i="3" s="1"/>
  <c r="B13" i="3" s="1"/>
  <c r="Q35" i="3"/>
  <c r="V11" i="3"/>
  <c r="U10" i="3"/>
  <c r="X9" i="3"/>
  <c r="X10" i="3" l="1"/>
  <c r="U11" i="3"/>
  <c r="V12" i="3"/>
  <c r="V13" i="3" l="1"/>
  <c r="U12" i="3"/>
  <c r="X11" i="3"/>
  <c r="X12" i="3" l="1"/>
  <c r="V14" i="3"/>
  <c r="U13" i="3"/>
  <c r="X13" i="3" l="1"/>
  <c r="U14" i="3"/>
  <c r="V15" i="3"/>
  <c r="V16" i="3" l="1"/>
  <c r="U15" i="3"/>
  <c r="X14" i="3"/>
  <c r="X15" i="3" l="1"/>
  <c r="U16" i="3"/>
  <c r="V17" i="3"/>
  <c r="V18" i="3" l="1"/>
  <c r="U17" i="3"/>
  <c r="X16" i="3"/>
  <c r="X17" i="3" l="1"/>
  <c r="V19" i="3"/>
  <c r="U18" i="3"/>
  <c r="X18" i="3" l="1"/>
  <c r="U19" i="3"/>
  <c r="V20" i="3"/>
  <c r="V21" i="3" l="1"/>
  <c r="U20" i="3"/>
  <c r="X19" i="3"/>
  <c r="X20" i="3" l="1"/>
  <c r="U21" i="3"/>
  <c r="V22" i="3"/>
  <c r="V23" i="3" l="1"/>
  <c r="U22" i="3"/>
  <c r="X21" i="3"/>
  <c r="X22" i="3" l="1"/>
  <c r="U23" i="3"/>
  <c r="V24" i="3"/>
  <c r="V25" i="3" l="1"/>
  <c r="U24" i="3"/>
  <c r="X23" i="3"/>
  <c r="X24" i="3" l="1"/>
  <c r="V26" i="3"/>
  <c r="U25" i="3"/>
  <c r="X25" i="3" l="1"/>
  <c r="U26" i="3"/>
  <c r="V27" i="3"/>
  <c r="V28" i="3" l="1"/>
  <c r="U27" i="3"/>
  <c r="X26" i="3"/>
  <c r="X27" i="3" l="1"/>
  <c r="U28" i="3"/>
  <c r="V29" i="3"/>
  <c r="V30" i="3" l="1"/>
  <c r="U29" i="3"/>
  <c r="X28" i="3"/>
  <c r="X29" i="3" l="1"/>
  <c r="V31" i="3"/>
  <c r="U30" i="3"/>
  <c r="X30" i="3" l="1"/>
  <c r="U31" i="3"/>
  <c r="V32" i="3"/>
  <c r="V33" i="3" l="1"/>
  <c r="U32" i="3"/>
  <c r="X31" i="3"/>
  <c r="X32" i="3" l="1"/>
  <c r="U33" i="3"/>
  <c r="V34" i="3"/>
  <c r="V35" i="3" l="1"/>
  <c r="U34" i="3"/>
  <c r="X33" i="3"/>
  <c r="X34" i="3" l="1"/>
  <c r="U35" i="3"/>
  <c r="V36" i="3"/>
  <c r="V37" i="3" l="1"/>
  <c r="U36" i="3"/>
  <c r="X35" i="3"/>
  <c r="X36" i="3" l="1"/>
  <c r="V38" i="3"/>
  <c r="U37" i="3"/>
  <c r="X37" i="3" l="1"/>
  <c r="U38" i="3"/>
  <c r="V39" i="3"/>
  <c r="V40" i="3" l="1"/>
  <c r="U39" i="3"/>
  <c r="X38" i="3"/>
  <c r="X39" i="3" l="1"/>
  <c r="U40" i="3"/>
  <c r="V41" i="3"/>
  <c r="V42" i="3" l="1"/>
  <c r="U41" i="3"/>
  <c r="X40" i="3"/>
  <c r="X41" i="3" l="1"/>
  <c r="V43" i="3"/>
  <c r="U42" i="3"/>
  <c r="X42" i="3" l="1"/>
  <c r="V44" i="3"/>
  <c r="U43" i="3"/>
  <c r="V45" i="3" l="1"/>
  <c r="U44" i="3"/>
  <c r="X43" i="3"/>
  <c r="X44" i="3" l="1"/>
  <c r="U45" i="3"/>
  <c r="V46" i="3"/>
  <c r="V47" i="3" l="1"/>
  <c r="U46" i="3"/>
  <c r="X45" i="3"/>
  <c r="X46" i="3" l="1"/>
  <c r="U47" i="3"/>
  <c r="V48" i="3"/>
  <c r="U48" i="3" l="1"/>
  <c r="V49" i="3"/>
  <c r="X47" i="3"/>
  <c r="V50" i="3" l="1"/>
  <c r="U49" i="3"/>
  <c r="X48" i="3"/>
  <c r="X49" i="3" l="1"/>
  <c r="U50" i="3"/>
  <c r="V51" i="3"/>
  <c r="U51" i="3" l="1"/>
  <c r="V52" i="3"/>
  <c r="X50" i="3"/>
  <c r="V53" i="3" l="1"/>
  <c r="U52" i="3"/>
  <c r="X51" i="3"/>
  <c r="X52" i="3" l="1"/>
  <c r="U53" i="3"/>
  <c r="V54" i="3"/>
  <c r="U54" i="3" l="1"/>
  <c r="V55" i="3"/>
  <c r="X53" i="3"/>
  <c r="V56" i="3" l="1"/>
  <c r="U55" i="3"/>
  <c r="X54" i="3"/>
  <c r="X55" i="3" l="1"/>
  <c r="U56" i="3"/>
  <c r="V57" i="3"/>
  <c r="U57" i="3" l="1"/>
  <c r="V58" i="3"/>
  <c r="X56" i="3"/>
  <c r="U58" i="3" l="1"/>
  <c r="V59" i="3"/>
  <c r="X57" i="3"/>
  <c r="U59" i="3" l="1"/>
  <c r="V60" i="3"/>
  <c r="X58" i="3"/>
  <c r="U60" i="3" l="1"/>
  <c r="V61" i="3"/>
  <c r="X59" i="3"/>
  <c r="V62" i="3" l="1"/>
  <c r="U61" i="3"/>
  <c r="X60" i="3"/>
  <c r="X61" i="3" l="1"/>
  <c r="U62" i="3"/>
  <c r="V63" i="3"/>
  <c r="V64" i="3" l="1"/>
  <c r="U63" i="3"/>
  <c r="X62" i="3"/>
  <c r="X63" i="3" l="1"/>
  <c r="U64" i="3"/>
  <c r="V65" i="3"/>
  <c r="U65" i="3" l="1"/>
  <c r="V66" i="3"/>
  <c r="X64" i="3"/>
  <c r="U66" i="3" l="1"/>
  <c r="V67" i="3"/>
  <c r="X65" i="3"/>
  <c r="U67" i="3" l="1"/>
  <c r="V68" i="3"/>
  <c r="X66" i="3"/>
  <c r="U68" i="3" l="1"/>
  <c r="V69" i="3"/>
  <c r="X67" i="3"/>
  <c r="V70" i="3" l="1"/>
  <c r="U69" i="3"/>
  <c r="X68" i="3"/>
  <c r="B2" i="2"/>
  <c r="X69" i="3" l="1"/>
  <c r="U70" i="3"/>
  <c r="V71" i="3"/>
  <c r="J3" i="2"/>
  <c r="K3" i="2" s="1"/>
  <c r="M3" i="2" s="1"/>
  <c r="K1" i="2"/>
  <c r="J1" i="2"/>
  <c r="F5" i="2"/>
  <c r="E5" i="2"/>
  <c r="E3" i="2"/>
  <c r="F3" i="2" s="1"/>
  <c r="G3" i="2" s="1"/>
  <c r="G1" i="2"/>
  <c r="T21" i="1"/>
  <c r="T19" i="1"/>
  <c r="T18" i="1"/>
  <c r="T15" i="1"/>
  <c r="T14" i="1"/>
  <c r="T12" i="1"/>
  <c r="T11" i="1"/>
  <c r="T7" i="1"/>
  <c r="T6" i="1"/>
  <c r="T4" i="1"/>
  <c r="T3" i="1"/>
  <c r="D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E2" i="1"/>
  <c r="V72" i="3" l="1"/>
  <c r="U71" i="3"/>
  <c r="X70" i="3"/>
  <c r="L1" i="2"/>
  <c r="M1" i="2" s="1"/>
  <c r="M5" i="2" s="1"/>
  <c r="M7" i="2" s="1"/>
  <c r="M9" i="2" s="1"/>
  <c r="E6" i="2"/>
  <c r="F6" i="2" s="1"/>
  <c r="G6" i="2" s="1"/>
  <c r="G8" i="2" s="1"/>
  <c r="G10" i="2" s="1"/>
  <c r="G12" i="2" s="1"/>
  <c r="B4" i="2"/>
  <c r="X71" i="3" l="1"/>
  <c r="U72" i="3"/>
  <c r="V73" i="3"/>
  <c r="J16" i="2"/>
  <c r="U73" i="3" l="1"/>
  <c r="V74" i="3"/>
  <c r="X72" i="3"/>
  <c r="U74" i="3" l="1"/>
  <c r="V75" i="3"/>
  <c r="U75" i="3" s="1"/>
  <c r="X73" i="3"/>
  <c r="X75" i="3" l="1"/>
  <c r="X74" i="3"/>
</calcChain>
</file>

<file path=xl/sharedStrings.xml><?xml version="1.0" encoding="utf-8"?>
<sst xmlns="http://schemas.openxmlformats.org/spreadsheetml/2006/main" count="88" uniqueCount="56">
  <si>
    <t>f, Гц</t>
  </si>
  <si>
    <r>
      <t>АЧХ</t>
    </r>
    <r>
      <rPr>
        <vertAlign val="subscript"/>
        <sz val="11"/>
        <color theme="1"/>
        <rFont val="Calibri"/>
        <family val="2"/>
        <charset val="204"/>
        <scheme val="minor"/>
      </rPr>
      <t>1</t>
    </r>
  </si>
  <si>
    <r>
      <t>АЧХ</t>
    </r>
    <r>
      <rPr>
        <vertAlign val="subscript"/>
        <sz val="11"/>
        <color theme="1"/>
        <rFont val="Calibri"/>
        <family val="2"/>
        <charset val="204"/>
        <scheme val="minor"/>
      </rPr>
      <t>2</t>
    </r>
  </si>
  <si>
    <r>
      <t>АЧХ</t>
    </r>
    <r>
      <rPr>
        <vertAlign val="subscript"/>
        <sz val="11"/>
        <color theme="1"/>
        <rFont val="Calibri"/>
        <family val="2"/>
        <charset val="204"/>
        <scheme val="minor"/>
      </rPr>
      <t>1</t>
    </r>
    <r>
      <rPr>
        <sz val="11"/>
        <color theme="1"/>
        <rFont val="Calibri"/>
        <family val="2"/>
        <charset val="204"/>
        <scheme val="minor"/>
      </rPr>
      <t>, Дб</t>
    </r>
  </si>
  <si>
    <r>
      <t>АЧХ</t>
    </r>
    <r>
      <rPr>
        <vertAlign val="subscript"/>
        <sz val="11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charset val="204"/>
        <scheme val="minor"/>
      </rPr>
      <t>, Дб</t>
    </r>
  </si>
  <si>
    <t>а</t>
  </si>
  <si>
    <t>b</t>
  </si>
  <si>
    <t>a</t>
  </si>
  <si>
    <r>
      <t>АЧХ</t>
    </r>
    <r>
      <rPr>
        <vertAlign val="subscript"/>
        <sz val="11"/>
        <color theme="1"/>
        <rFont val="Calibri"/>
        <family val="2"/>
        <charset val="204"/>
        <scheme val="minor"/>
      </rPr>
      <t>1</t>
    </r>
    <r>
      <rPr>
        <sz val="11"/>
        <color theme="1"/>
        <rFont val="Calibri"/>
        <family val="2"/>
        <charset val="204"/>
        <scheme val="minor"/>
      </rPr>
      <t xml:space="preserve"> - АЧХ</t>
    </r>
    <r>
      <rPr>
        <vertAlign val="subscript"/>
        <sz val="11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charset val="204"/>
        <scheme val="minor"/>
      </rPr>
      <t xml:space="preserve"> = </t>
    </r>
  </si>
  <si>
    <r>
      <t>АЧХ</t>
    </r>
    <r>
      <rPr>
        <vertAlign val="subscript"/>
        <sz val="11"/>
        <color theme="1"/>
        <rFont val="Calibri"/>
        <family val="2"/>
        <charset val="204"/>
        <scheme val="minor"/>
      </rPr>
      <t>1</t>
    </r>
    <r>
      <rPr>
        <sz val="11"/>
        <color theme="1"/>
        <rFont val="Calibri"/>
        <family val="2"/>
        <charset val="204"/>
        <scheme val="minor"/>
      </rPr>
      <t xml:space="preserve"> = </t>
    </r>
  </si>
  <si>
    <r>
      <t>АЧХ</t>
    </r>
    <r>
      <rPr>
        <vertAlign val="subscript"/>
        <sz val="11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charset val="204"/>
        <scheme val="minor"/>
      </rPr>
      <t xml:space="preserve"> = </t>
    </r>
  </si>
  <si>
    <t xml:space="preserve">w = </t>
  </si>
  <si>
    <t>Вычисление ФЧХ цепей</t>
  </si>
  <si>
    <t>w, Гц</t>
  </si>
  <si>
    <r>
      <t>ЧХ</t>
    </r>
    <r>
      <rPr>
        <vertAlign val="subscript"/>
        <sz val="11"/>
        <color theme="1"/>
        <rFont val="Calibri"/>
        <family val="2"/>
        <charset val="204"/>
        <scheme val="minor"/>
      </rPr>
      <t>1</t>
    </r>
  </si>
  <si>
    <r>
      <t>ФЧХ</t>
    </r>
    <r>
      <rPr>
        <vertAlign val="subscript"/>
        <sz val="11"/>
        <color theme="1"/>
        <rFont val="Calibri"/>
        <family val="2"/>
        <charset val="204"/>
        <scheme val="minor"/>
      </rPr>
      <t xml:space="preserve">1, </t>
    </r>
    <r>
      <rPr>
        <sz val="11"/>
        <color theme="1"/>
        <rFont val="Calibri"/>
        <family val="2"/>
        <charset val="204"/>
        <scheme val="minor"/>
      </rPr>
      <t>°</t>
    </r>
  </si>
  <si>
    <r>
      <t>ЧХ</t>
    </r>
    <r>
      <rPr>
        <vertAlign val="subscript"/>
        <sz val="11"/>
        <color theme="1"/>
        <rFont val="Calibri"/>
        <family val="2"/>
        <charset val="204"/>
        <scheme val="minor"/>
      </rPr>
      <t>2</t>
    </r>
  </si>
  <si>
    <r>
      <t>ФЧХ</t>
    </r>
    <r>
      <rPr>
        <vertAlign val="subscript"/>
        <sz val="11"/>
        <color theme="1"/>
        <rFont val="Calibri"/>
        <family val="2"/>
        <charset val="204"/>
        <scheme val="minor"/>
      </rPr>
      <t xml:space="preserve">2, </t>
    </r>
    <r>
      <rPr>
        <sz val="11"/>
        <color theme="1"/>
        <rFont val="Calibri"/>
        <family val="2"/>
        <charset val="204"/>
        <scheme val="minor"/>
      </rPr>
      <t>°</t>
    </r>
  </si>
  <si>
    <t>Схема 1. Дано</t>
  </si>
  <si>
    <t>Импеданс элемента</t>
  </si>
  <si>
    <r>
      <t>Подсчет ЧХ</t>
    </r>
    <r>
      <rPr>
        <vertAlign val="subscript"/>
        <sz val="11"/>
        <color theme="1"/>
        <rFont val="Calibri"/>
        <family val="2"/>
        <charset val="204"/>
        <scheme val="minor"/>
      </rPr>
      <t>1</t>
    </r>
  </si>
  <si>
    <t>Схема 2. Дано</t>
  </si>
  <si>
    <r>
      <t>Подсчет ЧХ</t>
    </r>
    <r>
      <rPr>
        <vertAlign val="subscript"/>
        <sz val="11"/>
        <color theme="1"/>
        <rFont val="Calibri"/>
        <family val="2"/>
        <charset val="204"/>
        <scheme val="minor"/>
      </rPr>
      <t>2</t>
    </r>
  </si>
  <si>
    <t>R =</t>
  </si>
  <si>
    <t>Ом</t>
  </si>
  <si>
    <r>
      <t>1) Сумма Z</t>
    </r>
    <r>
      <rPr>
        <vertAlign val="subscript"/>
        <sz val="11"/>
        <color theme="1"/>
        <rFont val="Calibri"/>
        <family val="2"/>
        <charset val="204"/>
        <scheme val="minor"/>
      </rPr>
      <t>L</t>
    </r>
    <r>
      <rPr>
        <sz val="11"/>
        <color theme="1"/>
        <rFont val="Calibri"/>
        <family val="2"/>
        <charset val="204"/>
        <scheme val="minor"/>
      </rPr>
      <t>+Z</t>
    </r>
    <r>
      <rPr>
        <vertAlign val="subscript"/>
        <sz val="11"/>
        <color theme="1"/>
        <rFont val="Calibri"/>
        <family val="2"/>
        <charset val="204"/>
        <scheme val="minor"/>
      </rPr>
      <t>R</t>
    </r>
    <r>
      <rPr>
        <sz val="11"/>
        <color theme="1"/>
        <rFont val="Calibri"/>
        <family val="2"/>
        <charset val="204"/>
        <scheme val="minor"/>
      </rPr>
      <t>+Z</t>
    </r>
    <r>
      <rPr>
        <vertAlign val="subscript"/>
        <sz val="11"/>
        <color theme="1"/>
        <rFont val="Calibri"/>
        <family val="2"/>
        <charset val="204"/>
        <scheme val="minor"/>
      </rPr>
      <t>C2</t>
    </r>
  </si>
  <si>
    <r>
      <t>R</t>
    </r>
    <r>
      <rPr>
        <vertAlign val="subscript"/>
        <sz val="11"/>
        <color theme="1"/>
        <rFont val="Calibri"/>
        <family val="2"/>
        <charset val="204"/>
        <scheme val="minor"/>
      </rPr>
      <t>1</t>
    </r>
    <r>
      <rPr>
        <sz val="11"/>
        <color theme="1"/>
        <rFont val="Calibri"/>
        <family val="2"/>
        <charset val="204"/>
        <scheme val="minor"/>
      </rPr>
      <t xml:space="preserve"> =</t>
    </r>
  </si>
  <si>
    <r>
      <t>C</t>
    </r>
    <r>
      <rPr>
        <vertAlign val="subscript"/>
        <sz val="11"/>
        <color theme="1"/>
        <rFont val="Calibri"/>
        <family val="2"/>
        <charset val="204"/>
        <scheme val="minor"/>
      </rPr>
      <t>1</t>
    </r>
    <r>
      <rPr>
        <sz val="11"/>
        <color theme="1"/>
        <rFont val="Calibri"/>
        <family val="2"/>
        <charset val="204"/>
        <scheme val="minor"/>
      </rPr>
      <t xml:space="preserve"> =</t>
    </r>
  </si>
  <si>
    <t>Ф</t>
  </si>
  <si>
    <r>
      <t>R</t>
    </r>
    <r>
      <rPr>
        <vertAlign val="subscript"/>
        <sz val="11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charset val="204"/>
        <scheme val="minor"/>
      </rPr>
      <t xml:space="preserve"> =</t>
    </r>
  </si>
  <si>
    <r>
      <t>C</t>
    </r>
    <r>
      <rPr>
        <vertAlign val="subscript"/>
        <sz val="11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charset val="204"/>
        <scheme val="minor"/>
      </rPr>
      <t xml:space="preserve"> = </t>
    </r>
  </si>
  <si>
    <t>Результат:</t>
  </si>
  <si>
    <t>L =</t>
  </si>
  <si>
    <t>Гн</t>
  </si>
  <si>
    <r>
      <t>2) Сумма Z</t>
    </r>
    <r>
      <rPr>
        <vertAlign val="subscript"/>
        <sz val="11"/>
        <color theme="1"/>
        <rFont val="Calibri"/>
        <family val="2"/>
        <charset val="204"/>
        <scheme val="minor"/>
      </rPr>
      <t>R</t>
    </r>
    <r>
      <rPr>
        <sz val="11"/>
        <color theme="1"/>
        <rFont val="Calibri"/>
        <family val="2"/>
        <charset val="204"/>
        <scheme val="minor"/>
      </rPr>
      <t>+Z</t>
    </r>
    <r>
      <rPr>
        <vertAlign val="subscript"/>
        <sz val="11"/>
        <color theme="1"/>
        <rFont val="Calibri"/>
        <family val="2"/>
        <charset val="204"/>
        <scheme val="minor"/>
      </rPr>
      <t>C2</t>
    </r>
  </si>
  <si>
    <t>Искомое значение</t>
  </si>
  <si>
    <t>w =</t>
  </si>
  <si>
    <t>Гц</t>
  </si>
  <si>
    <r>
      <t>3) Произведение Z</t>
    </r>
    <r>
      <rPr>
        <vertAlign val="subscript"/>
        <sz val="11"/>
        <color theme="1"/>
        <rFont val="Calibri"/>
        <family val="2"/>
        <charset val="204"/>
        <scheme val="minor"/>
      </rPr>
      <t>C1</t>
    </r>
    <r>
      <rPr>
        <sz val="11"/>
        <color theme="1"/>
        <rFont val="Calibri"/>
        <family val="2"/>
        <charset val="204"/>
      </rPr>
      <t>×(Z</t>
    </r>
    <r>
      <rPr>
        <vertAlign val="subscript"/>
        <sz val="11"/>
        <color theme="1"/>
        <rFont val="Calibri"/>
        <family val="2"/>
        <charset val="204"/>
      </rPr>
      <t>L</t>
    </r>
    <r>
      <rPr>
        <sz val="11"/>
        <color theme="1"/>
        <rFont val="Calibri"/>
        <family val="2"/>
        <charset val="204"/>
      </rPr>
      <t>+Z</t>
    </r>
    <r>
      <rPr>
        <vertAlign val="subscript"/>
        <sz val="11"/>
        <color theme="1"/>
        <rFont val="Calibri"/>
        <family val="2"/>
        <charset val="204"/>
      </rPr>
      <t>R</t>
    </r>
    <r>
      <rPr>
        <sz val="11"/>
        <color theme="1"/>
        <rFont val="Calibri"/>
        <family val="2"/>
        <charset val="204"/>
      </rPr>
      <t>+Z</t>
    </r>
    <r>
      <rPr>
        <vertAlign val="subscript"/>
        <sz val="11"/>
        <color theme="1"/>
        <rFont val="Calibri"/>
        <family val="2"/>
        <charset val="204"/>
      </rPr>
      <t>C2</t>
    </r>
    <r>
      <rPr>
        <sz val="11"/>
        <color theme="1"/>
        <rFont val="Calibri"/>
        <family val="2"/>
        <charset val="204"/>
      </rPr>
      <t>)</t>
    </r>
  </si>
  <si>
    <r>
      <t>АЧХ</t>
    </r>
    <r>
      <rPr>
        <vertAlign val="subscript"/>
        <sz val="11"/>
        <color theme="1"/>
        <rFont val="Calibri"/>
        <family val="2"/>
        <charset val="204"/>
        <scheme val="minor"/>
      </rPr>
      <t>1</t>
    </r>
    <r>
      <rPr>
        <sz val="11"/>
        <color theme="1"/>
        <rFont val="Calibri"/>
        <family val="2"/>
        <charset val="204"/>
        <scheme val="minor"/>
      </rPr>
      <t>-АЧХ</t>
    </r>
    <r>
      <rPr>
        <vertAlign val="subscript"/>
        <sz val="11"/>
        <color theme="1"/>
        <rFont val="Calibri"/>
        <family val="2"/>
        <charset val="204"/>
        <scheme val="minor"/>
      </rPr>
      <t>2</t>
    </r>
  </si>
  <si>
    <r>
      <t>4) Произведение Z</t>
    </r>
    <r>
      <rPr>
        <vertAlign val="subscript"/>
        <sz val="11"/>
        <color theme="1"/>
        <rFont val="Calibri"/>
        <family val="2"/>
        <charset val="204"/>
        <scheme val="minor"/>
      </rPr>
      <t>L</t>
    </r>
    <r>
      <rPr>
        <sz val="11"/>
        <color theme="1"/>
        <rFont val="Calibri"/>
        <family val="2"/>
        <charset val="204"/>
      </rPr>
      <t>×(Z</t>
    </r>
    <r>
      <rPr>
        <vertAlign val="subscript"/>
        <sz val="11"/>
        <color theme="1"/>
        <rFont val="Calibri"/>
        <family val="2"/>
        <charset val="204"/>
      </rPr>
      <t>R</t>
    </r>
    <r>
      <rPr>
        <sz val="11"/>
        <color theme="1"/>
        <rFont val="Calibri"/>
        <family val="2"/>
        <charset val="204"/>
      </rPr>
      <t>+Z</t>
    </r>
    <r>
      <rPr>
        <vertAlign val="subscript"/>
        <sz val="11"/>
        <color theme="1"/>
        <rFont val="Calibri"/>
        <family val="2"/>
        <charset val="204"/>
      </rPr>
      <t>C2</t>
    </r>
    <r>
      <rPr>
        <sz val="11"/>
        <color theme="1"/>
        <rFont val="Calibri"/>
        <family val="2"/>
        <charset val="204"/>
      </rPr>
      <t>)</t>
    </r>
  </si>
  <si>
    <t>5) Деление (3) на (4)</t>
  </si>
  <si>
    <t xml:space="preserve">Результат: </t>
  </si>
  <si>
    <t>6) Cумма (5) + 1</t>
  </si>
  <si>
    <r>
      <t>7) Сумма Z</t>
    </r>
    <r>
      <rPr>
        <vertAlign val="subscript"/>
        <sz val="11"/>
        <color theme="1"/>
        <rFont val="Calibri"/>
        <family val="2"/>
        <charset val="204"/>
        <scheme val="minor"/>
      </rPr>
      <t>R</t>
    </r>
    <r>
      <rPr>
        <sz val="11"/>
        <color theme="1"/>
        <rFont val="Calibri"/>
        <family val="2"/>
        <charset val="204"/>
        <scheme val="minor"/>
      </rPr>
      <t>+Z</t>
    </r>
    <r>
      <rPr>
        <vertAlign val="subscript"/>
        <sz val="11"/>
        <color theme="1"/>
        <rFont val="Calibri"/>
        <family val="2"/>
        <charset val="204"/>
        <scheme val="minor"/>
      </rPr>
      <t>C2</t>
    </r>
  </si>
  <si>
    <t>8) Произведение (6) и (7)</t>
  </si>
  <si>
    <r>
      <t>9) Деление Z</t>
    </r>
    <r>
      <rPr>
        <vertAlign val="subscript"/>
        <sz val="11"/>
        <color theme="1"/>
        <rFont val="Calibri"/>
        <family val="2"/>
        <charset val="204"/>
        <scheme val="minor"/>
      </rPr>
      <t>C2</t>
    </r>
    <r>
      <rPr>
        <sz val="11"/>
        <color theme="1"/>
        <rFont val="Calibri"/>
        <family val="2"/>
        <charset val="204"/>
        <scheme val="minor"/>
      </rPr>
      <t xml:space="preserve"> на (8)</t>
    </r>
  </si>
  <si>
    <r>
      <t>ЧХ</t>
    </r>
    <r>
      <rPr>
        <vertAlign val="subscript"/>
        <sz val="11"/>
        <color theme="1"/>
        <rFont val="Calibri"/>
        <family val="2"/>
        <charset val="204"/>
        <scheme val="minor"/>
      </rPr>
      <t>1</t>
    </r>
    <r>
      <rPr>
        <sz val="11"/>
        <color theme="1"/>
        <rFont val="Calibri"/>
        <family val="2"/>
        <charset val="204"/>
        <scheme val="minor"/>
      </rPr>
      <t>:</t>
    </r>
  </si>
  <si>
    <r>
      <t>1) Сумма Z</t>
    </r>
    <r>
      <rPr>
        <vertAlign val="subscript"/>
        <sz val="11"/>
        <color theme="1"/>
        <rFont val="Calibri"/>
        <family val="2"/>
        <charset val="204"/>
        <scheme val="minor"/>
      </rPr>
      <t>C1</t>
    </r>
    <r>
      <rPr>
        <sz val="11"/>
        <color theme="1"/>
        <rFont val="Calibri"/>
        <family val="2"/>
        <charset val="204"/>
        <scheme val="minor"/>
      </rPr>
      <t>+Z</t>
    </r>
    <r>
      <rPr>
        <vertAlign val="subscript"/>
        <sz val="11"/>
        <color theme="1"/>
        <rFont val="Calibri"/>
        <family val="2"/>
        <charset val="204"/>
        <scheme val="minor"/>
      </rPr>
      <t>R2</t>
    </r>
    <r>
      <rPr>
        <sz val="11"/>
        <color theme="1"/>
        <rFont val="Calibri"/>
        <family val="2"/>
        <charset val="204"/>
        <scheme val="minor"/>
      </rPr>
      <t>+Z</t>
    </r>
    <r>
      <rPr>
        <vertAlign val="subscript"/>
        <sz val="11"/>
        <color theme="1"/>
        <rFont val="Calibri"/>
        <family val="2"/>
        <charset val="204"/>
        <scheme val="minor"/>
      </rPr>
      <t>C2</t>
    </r>
  </si>
  <si>
    <r>
      <t>2) Сумма Z</t>
    </r>
    <r>
      <rPr>
        <vertAlign val="subscript"/>
        <sz val="11"/>
        <color theme="1"/>
        <rFont val="Calibri"/>
        <family val="2"/>
        <charset val="204"/>
        <scheme val="minor"/>
      </rPr>
      <t>R2</t>
    </r>
    <r>
      <rPr>
        <sz val="11"/>
        <color theme="1"/>
        <rFont val="Calibri"/>
        <family val="2"/>
        <charset val="204"/>
        <scheme val="minor"/>
      </rPr>
      <t>+Z</t>
    </r>
    <r>
      <rPr>
        <vertAlign val="subscript"/>
        <sz val="11"/>
        <color theme="1"/>
        <rFont val="Calibri"/>
        <family val="2"/>
        <charset val="204"/>
        <scheme val="minor"/>
      </rPr>
      <t>C2</t>
    </r>
  </si>
  <si>
    <r>
      <t>3) Произведение Z</t>
    </r>
    <r>
      <rPr>
        <vertAlign val="subscript"/>
        <sz val="11"/>
        <color theme="1"/>
        <rFont val="Calibri"/>
        <family val="2"/>
        <charset val="204"/>
        <scheme val="minor"/>
      </rPr>
      <t>R1</t>
    </r>
    <r>
      <rPr>
        <sz val="11"/>
        <color theme="1"/>
        <rFont val="Calibri"/>
        <family val="2"/>
        <charset val="204"/>
      </rPr>
      <t>×(Z</t>
    </r>
    <r>
      <rPr>
        <vertAlign val="subscript"/>
        <sz val="11"/>
        <color theme="1"/>
        <rFont val="Calibri"/>
        <family val="2"/>
        <charset val="204"/>
      </rPr>
      <t>C1</t>
    </r>
    <r>
      <rPr>
        <sz val="11"/>
        <color theme="1"/>
        <rFont val="Calibri"/>
        <family val="2"/>
        <charset val="204"/>
      </rPr>
      <t>+Z</t>
    </r>
    <r>
      <rPr>
        <vertAlign val="subscript"/>
        <sz val="11"/>
        <color theme="1"/>
        <rFont val="Calibri"/>
        <family val="2"/>
        <charset val="204"/>
      </rPr>
      <t>R2</t>
    </r>
    <r>
      <rPr>
        <sz val="11"/>
        <color theme="1"/>
        <rFont val="Calibri"/>
        <family val="2"/>
        <charset val="204"/>
      </rPr>
      <t>+Z</t>
    </r>
    <r>
      <rPr>
        <vertAlign val="subscript"/>
        <sz val="11"/>
        <color theme="1"/>
        <rFont val="Calibri"/>
        <family val="2"/>
        <charset val="204"/>
      </rPr>
      <t>C2</t>
    </r>
    <r>
      <rPr>
        <sz val="11"/>
        <color theme="1"/>
        <rFont val="Calibri"/>
        <family val="2"/>
        <charset val="204"/>
      </rPr>
      <t>)</t>
    </r>
  </si>
  <si>
    <r>
      <t>4) Произведение Z</t>
    </r>
    <r>
      <rPr>
        <vertAlign val="subscript"/>
        <sz val="11"/>
        <color theme="1"/>
        <rFont val="Calibri"/>
        <family val="2"/>
        <charset val="204"/>
        <scheme val="minor"/>
      </rPr>
      <t>C1</t>
    </r>
    <r>
      <rPr>
        <sz val="11"/>
        <color theme="1"/>
        <rFont val="Calibri"/>
        <family val="2"/>
        <charset val="204"/>
      </rPr>
      <t>×(Z</t>
    </r>
    <r>
      <rPr>
        <vertAlign val="subscript"/>
        <sz val="11"/>
        <color theme="1"/>
        <rFont val="Calibri"/>
        <family val="2"/>
        <charset val="204"/>
      </rPr>
      <t>R2</t>
    </r>
    <r>
      <rPr>
        <sz val="11"/>
        <color theme="1"/>
        <rFont val="Calibri"/>
        <family val="2"/>
        <charset val="204"/>
      </rPr>
      <t>+Z</t>
    </r>
    <r>
      <rPr>
        <vertAlign val="subscript"/>
        <sz val="11"/>
        <color theme="1"/>
        <rFont val="Calibri"/>
        <family val="2"/>
        <charset val="204"/>
      </rPr>
      <t>C2</t>
    </r>
    <r>
      <rPr>
        <sz val="11"/>
        <color theme="1"/>
        <rFont val="Calibri"/>
        <family val="2"/>
        <charset val="204"/>
      </rPr>
      <t>)</t>
    </r>
  </si>
  <si>
    <r>
      <t>7) Сумма Z</t>
    </r>
    <r>
      <rPr>
        <vertAlign val="subscript"/>
        <sz val="11"/>
        <color theme="1"/>
        <rFont val="Calibri"/>
        <family val="2"/>
        <charset val="204"/>
        <scheme val="minor"/>
      </rPr>
      <t>R2</t>
    </r>
    <r>
      <rPr>
        <sz val="11"/>
        <color theme="1"/>
        <rFont val="Calibri"/>
        <family val="2"/>
        <charset val="204"/>
        <scheme val="minor"/>
      </rPr>
      <t>+Z</t>
    </r>
    <r>
      <rPr>
        <vertAlign val="subscript"/>
        <sz val="11"/>
        <color theme="1"/>
        <rFont val="Calibri"/>
        <family val="2"/>
        <charset val="204"/>
        <scheme val="minor"/>
      </rPr>
      <t>C2</t>
    </r>
  </si>
  <si>
    <r>
      <t>ЧХ</t>
    </r>
    <r>
      <rPr>
        <vertAlign val="subscript"/>
        <sz val="11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charset val="204"/>
        <scheme val="minor"/>
      </rPr>
      <t>:</t>
    </r>
  </si>
  <si>
    <t>ФЧХ1, °</t>
  </si>
  <si>
    <t>ФЧХ2, 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</si>
</sst>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charset val="204"/>
      <scheme val="minor"/>
    </font>
    <font>
      <vertAlign val="subscript"/>
      <sz val="11"/>
      <color theme="1"/>
      <name val="Calibri"/>
      <family val="2"/>
      <charset val="204"/>
      <scheme val="minor"/>
    </font>
    <font>
      <sz val="11"/>
      <color theme="1"/>
      <name val="Symbol"/>
      <family val="1"/>
      <charset val="2"/>
    </font>
    <font>
      <i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vertAlign val="subscript"/>
      <sz val="11"/>
      <color theme="1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19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2" fillId="0" borderId="0" xfId="0" applyFont="1"/>
    <xf numFmtId="0" fontId="0" fillId="2" borderId="0" xfId="0" applyFill="1"/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/>
    <xf numFmtId="164" fontId="0" fillId="0" borderId="0" xfId="0" applyNumberFormat="1"/>
    <xf numFmtId="0" fontId="0" fillId="0" borderId="3" xfId="0" applyBorder="1" applyAlignment="1">
      <alignment horizontal="center"/>
    </xf>
    <xf numFmtId="164" fontId="0" fillId="0" borderId="4" xfId="0" applyNumberFormat="1" applyBorder="1"/>
    <xf numFmtId="0" fontId="0" fillId="0" borderId="5" xfId="0" applyBorder="1"/>
    <xf numFmtId="0" fontId="0" fillId="2" borderId="6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11" fontId="0" fillId="0" borderId="0" xfId="0" applyNumberFormat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8" xfId="0" applyBorder="1"/>
    <xf numFmtId="0" fontId="0" fillId="2" borderId="13" xfId="0" applyFill="1" applyBorder="1" applyAlignment="1">
      <alignment horizontal="center"/>
    </xf>
    <xf numFmtId="0" fontId="0" fillId="0" borderId="15" xfId="0" applyBorder="1"/>
    <xf numFmtId="0" fontId="0" fillId="2" borderId="17" xfId="0" applyFill="1" applyBorder="1"/>
    <xf numFmtId="0" fontId="0" fillId="0" borderId="18" xfId="0" applyBorder="1"/>
    <xf numFmtId="11" fontId="0" fillId="0" borderId="14" xfId="0" applyNumberFormat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2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1" xfId="0" applyBorder="1" applyAlignment="1">
      <alignment horizontal="center"/>
    </xf>
    <xf numFmtId="0" fontId="3" fillId="0" borderId="10" xfId="0" applyFont="1" applyBorder="1" applyAlignment="1">
      <alignment horizontal="center"/>
    </xf>
    <xf numFmtId="1" fontId="0" fillId="0" borderId="10" xfId="0" applyNumberFormat="1" applyBorder="1"/>
    <xf numFmtId="1" fontId="0" fillId="0" borderId="13" xfId="0" applyNumberFormat="1" applyBorder="1"/>
    <xf numFmtId="0" fontId="0" fillId="0" borderId="14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microsoft.com/office/2017/10/relationships/person" Target="persons/person1.xml"/><Relationship Id="rId5" Type="http://schemas.openxmlformats.org/officeDocument/2006/relationships/styles" Target="styles.xml"/><Relationship Id="rId10" Type="http://schemas.microsoft.com/office/2017/10/relationships/person" Target="persons/person0.xml"/><Relationship Id="rId4" Type="http://schemas.openxmlformats.org/officeDocument/2006/relationships/theme" Target="theme/theme1.xml"/><Relationship Id="rId9" Type="http://schemas.microsoft.com/office/2017/10/relationships/person" Target="persons/pers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980960091335242E-2"/>
          <c:y val="5.057220440148321E-2"/>
          <c:w val="0.85124528877752303"/>
          <c:h val="0.82895083129192249"/>
        </c:manualLayout>
      </c:layout>
      <c:scatterChart>
        <c:scatterStyle val="smoothMarker"/>
        <c:varyColors val="0"/>
        <c:ser>
          <c:idx val="0"/>
          <c:order val="0"/>
          <c:tx>
            <c:v>  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Лист1!$A$2:$A$22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  <c:pt idx="10">
                  <c:v>2000</c:v>
                </c:pt>
                <c:pt idx="11">
                  <c:v>5000</c:v>
                </c:pt>
                <c:pt idx="12">
                  <c:v>10000</c:v>
                </c:pt>
                <c:pt idx="13">
                  <c:v>20000</c:v>
                </c:pt>
                <c:pt idx="14">
                  <c:v>50000</c:v>
                </c:pt>
                <c:pt idx="15">
                  <c:v>100000</c:v>
                </c:pt>
                <c:pt idx="16">
                  <c:v>200000</c:v>
                </c:pt>
                <c:pt idx="17">
                  <c:v>500000</c:v>
                </c:pt>
                <c:pt idx="18">
                  <c:v>1000000</c:v>
                </c:pt>
                <c:pt idx="19">
                  <c:v>2000000</c:v>
                </c:pt>
                <c:pt idx="20">
                  <c:v>5000000</c:v>
                </c:pt>
              </c:numCache>
            </c:numRef>
          </c:xVal>
          <c:yVal>
            <c:numRef>
              <c:f>Лист1!$D$2:$D$22</c:f>
              <c:numCache>
                <c:formatCode>General</c:formatCode>
                <c:ptCount val="21"/>
                <c:pt idx="0">
                  <c:v>-170.45757490560675</c:v>
                </c:pt>
                <c:pt idx="1">
                  <c:v>-137.72113295386328</c:v>
                </c:pt>
                <c:pt idx="2">
                  <c:v>-121.79818908811865</c:v>
                </c:pt>
                <c:pt idx="3">
                  <c:v>-109.81057295794903</c:v>
                </c:pt>
                <c:pt idx="4">
                  <c:v>-97.721132953863261</c:v>
                </c:pt>
                <c:pt idx="5">
                  <c:v>-81.938200260161125</c:v>
                </c:pt>
                <c:pt idx="6">
                  <c:v>-69.951457600311343</c:v>
                </c:pt>
                <c:pt idx="7">
                  <c:v>-57.896611440013366</c:v>
                </c:pt>
                <c:pt idx="8">
                  <c:v>-41.892718624662152</c:v>
                </c:pt>
                <c:pt idx="9">
                  <c:v>-29.629721202442248</c:v>
                </c:pt>
                <c:pt idx="10">
                  <c:v>-16.082006951815323</c:v>
                </c:pt>
                <c:pt idx="11">
                  <c:v>12.306373132229577</c:v>
                </c:pt>
                <c:pt idx="12">
                  <c:v>-1.5144142787623671</c:v>
                </c:pt>
                <c:pt idx="13">
                  <c:v>-3.2356155618474842</c:v>
                </c:pt>
                <c:pt idx="14">
                  <c:v>-4.4950748051952711</c:v>
                </c:pt>
                <c:pt idx="15">
                  <c:v>-6.7259814922070369</c:v>
                </c:pt>
                <c:pt idx="16">
                  <c:v>-10.842362065320154</c:v>
                </c:pt>
                <c:pt idx="17">
                  <c:v>-18.061799739838872</c:v>
                </c:pt>
                <c:pt idx="18">
                  <c:v>-24.013189010928365</c:v>
                </c:pt>
                <c:pt idx="19">
                  <c:v>-29.897000433601878</c:v>
                </c:pt>
                <c:pt idx="20">
                  <c:v>-37.721132953863268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64E-48B7-8C62-002A72052F7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Лист1!$A$2:$A$22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  <c:pt idx="10">
                  <c:v>2000</c:v>
                </c:pt>
                <c:pt idx="11">
                  <c:v>5000</c:v>
                </c:pt>
                <c:pt idx="12">
                  <c:v>10000</c:v>
                </c:pt>
                <c:pt idx="13">
                  <c:v>20000</c:v>
                </c:pt>
                <c:pt idx="14">
                  <c:v>50000</c:v>
                </c:pt>
                <c:pt idx="15">
                  <c:v>100000</c:v>
                </c:pt>
                <c:pt idx="16">
                  <c:v>200000</c:v>
                </c:pt>
                <c:pt idx="17">
                  <c:v>500000</c:v>
                </c:pt>
                <c:pt idx="18">
                  <c:v>1000000</c:v>
                </c:pt>
                <c:pt idx="19">
                  <c:v>2000000</c:v>
                </c:pt>
                <c:pt idx="20">
                  <c:v>5000000</c:v>
                </c:pt>
              </c:numCache>
            </c:numRef>
          </c:xVal>
          <c:yVal>
            <c:numRef>
              <c:f>Лист1!$E$2:$E$22</c:f>
              <c:numCache>
                <c:formatCode>General</c:formatCode>
                <c:ptCount val="21"/>
                <c:pt idx="0">
                  <c:v>-6.9766556916426942E-2</c:v>
                </c:pt>
                <c:pt idx="1">
                  <c:v>-0.28249285383212691</c:v>
                </c:pt>
                <c:pt idx="2">
                  <c:v>-1.5247607834259949</c:v>
                </c:pt>
                <c:pt idx="3">
                  <c:v>-4.279175795148916</c:v>
                </c:pt>
                <c:pt idx="4">
                  <c:v>-8.849855961886842</c:v>
                </c:pt>
                <c:pt idx="5">
                  <c:v>-16.363128241104551</c:v>
                </c:pt>
                <c:pt idx="6">
                  <c:v>-22.383728154384173</c:v>
                </c:pt>
                <c:pt idx="7">
                  <c:v>-28.6359655186601</c:v>
                </c:pt>
                <c:pt idx="8">
                  <c:v>-38.416375079047505</c:v>
                </c:pt>
                <c:pt idx="9">
                  <c:v>-47.495809492362383</c:v>
                </c:pt>
                <c:pt idx="10">
                  <c:v>-58.438116991871787</c:v>
                </c:pt>
                <c:pt idx="11">
                  <c:v>-73.979400086720375</c:v>
                </c:pt>
                <c:pt idx="12">
                  <c:v>-86.020599913279625</c:v>
                </c:pt>
                <c:pt idx="13">
                  <c:v>-97.721132953863261</c:v>
                </c:pt>
                <c:pt idx="14">
                  <c:v>-113.92312450222691</c:v>
                </c:pt>
                <c:pt idx="15">
                  <c:v>-125.96864029888145</c:v>
                </c:pt>
                <c:pt idx="16">
                  <c:v>-137.99258909764876</c:v>
                </c:pt>
                <c:pt idx="17">
                  <c:v>-151.70053304058365</c:v>
                </c:pt>
                <c:pt idx="18">
                  <c:v>-165.96001050220724</c:v>
                </c:pt>
                <c:pt idx="19">
                  <c:v>-178.06179973983888</c:v>
                </c:pt>
                <c:pt idx="20">
                  <c:v>-191.86919639132088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64E-48B7-8C62-002A72052F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0694768"/>
        <c:axId val="404488832"/>
      </c:scatterChart>
      <c:valAx>
        <c:axId val="32069476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f, </a:t>
                </a:r>
                <a:r>
                  <a:rPr lang="ru-RU"/>
                  <a:t>Гц</a:t>
                </a:r>
              </a:p>
            </c:rich>
          </c:tx>
          <c:layout>
            <c:manualLayout>
              <c:xMode val="edge"/>
              <c:yMode val="edge"/>
              <c:x val="0.92555618059698919"/>
              <c:y val="0.139329862180787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4488832"/>
        <c:crosses val="autoZero"/>
        <c:crossBetween val="midCat"/>
      </c:valAx>
      <c:valAx>
        <c:axId val="404488832"/>
        <c:scaling>
          <c:orientation val="minMax"/>
          <c:max val="50"/>
          <c:min val="-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АЧХ,</a:t>
                </a:r>
                <a:r>
                  <a:rPr lang="ru-RU" baseline="0"/>
                  <a:t> Дб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7.2335706812637623E-2"/>
              <c:y val="3.255937698433182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0694768"/>
        <c:crosses val="autoZero"/>
        <c:crossBetween val="midCat"/>
      </c:valAx>
      <c:spPr>
        <a:noFill/>
        <a:ln>
          <a:noFill/>
        </a:ln>
        <a:effectLst>
          <a:softEdge rad="0"/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603937007874018"/>
          <c:y val="5.0925925925925923E-2"/>
          <c:w val="0.78992585301837259"/>
          <c:h val="0.8592439486730825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Лист1!$A$26:$A$30</c:f>
              <c:numCache>
                <c:formatCode>General</c:formatCode>
                <c:ptCount val="5"/>
                <c:pt idx="0">
                  <c:v>510</c:v>
                </c:pt>
                <c:pt idx="1">
                  <c:v>530</c:v>
                </c:pt>
                <c:pt idx="2">
                  <c:v>560</c:v>
                </c:pt>
                <c:pt idx="3">
                  <c:v>565</c:v>
                </c:pt>
                <c:pt idx="4">
                  <c:v>580</c:v>
                </c:pt>
              </c:numCache>
            </c:numRef>
          </c:xVal>
          <c:yVal>
            <c:numRef>
              <c:f>Лист1!$B$26:$B$30</c:f>
              <c:numCache>
                <c:formatCode>General</c:formatCode>
                <c:ptCount val="5"/>
                <c:pt idx="0">
                  <c:v>8.371E-3</c:v>
                </c:pt>
                <c:pt idx="1">
                  <c:v>9.0500000000000008E-3</c:v>
                </c:pt>
                <c:pt idx="2">
                  <c:v>1.0119E-2</c:v>
                </c:pt>
                <c:pt idx="3">
                  <c:v>1.0304000000000001E-2</c:v>
                </c:pt>
                <c:pt idx="4">
                  <c:v>1.0867E-2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EFE-4727-AD8A-84B5DD894E6F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Лист1!$A$26:$A$30</c:f>
              <c:numCache>
                <c:formatCode>General</c:formatCode>
                <c:ptCount val="5"/>
                <c:pt idx="0">
                  <c:v>510</c:v>
                </c:pt>
                <c:pt idx="1">
                  <c:v>530</c:v>
                </c:pt>
                <c:pt idx="2">
                  <c:v>560</c:v>
                </c:pt>
                <c:pt idx="3">
                  <c:v>565</c:v>
                </c:pt>
                <c:pt idx="4">
                  <c:v>580</c:v>
                </c:pt>
              </c:numCache>
            </c:numRef>
          </c:xVal>
          <c:yVal>
            <c:numRef>
              <c:f>Лист1!$C$26:$C$30</c:f>
              <c:numCache>
                <c:formatCode>General</c:formatCode>
                <c:ptCount val="5"/>
                <c:pt idx="0">
                  <c:v>1.1937E-2</c:v>
                </c:pt>
                <c:pt idx="1">
                  <c:v>1.1316E-2</c:v>
                </c:pt>
                <c:pt idx="2">
                  <c:v>1.047E-2</c:v>
                </c:pt>
                <c:pt idx="3">
                  <c:v>1.0338E-2</c:v>
                </c:pt>
                <c:pt idx="4">
                  <c:v>9.9559999999999996E-3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EFE-4727-AD8A-84B5DD894E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6852879"/>
        <c:axId val="1370840687"/>
      </c:scatterChart>
      <c:valAx>
        <c:axId val="1206852879"/>
        <c:scaling>
          <c:orientation val="minMax"/>
          <c:max val="566"/>
          <c:min val="56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f, </a:t>
                </a:r>
                <a:r>
                  <a:rPr lang="ru-RU"/>
                  <a:t>Гц</a:t>
                </a:r>
              </a:p>
            </c:rich>
          </c:tx>
          <c:layout>
            <c:manualLayout>
              <c:xMode val="edge"/>
              <c:yMode val="edge"/>
              <c:x val="0.86537029746281713"/>
              <c:y val="0.837013706620005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70840687"/>
        <c:crosses val="autoZero"/>
        <c:crossBetween val="midCat"/>
      </c:valAx>
      <c:valAx>
        <c:axId val="1370840687"/>
        <c:scaling>
          <c:orientation val="minMax"/>
          <c:max val="1.0340000000000002E-2"/>
          <c:min val="1.0310000000000001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АЧХ</a:t>
                </a:r>
              </a:p>
            </c:rich>
          </c:tx>
          <c:layout>
            <c:manualLayout>
              <c:xMode val="edge"/>
              <c:yMode val="edge"/>
              <c:x val="0.15"/>
              <c:y val="3.562882764654418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068528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7580927384076995E-2"/>
          <c:y val="5.0925925925925923E-2"/>
          <c:w val="0.84696084864391941"/>
          <c:h val="0.84535505978419367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Лист3!$V$3:$V$75</c:f>
              <c:numCache>
                <c:formatCode>0.000</c:formatCode>
                <c:ptCount val="73"/>
                <c:pt idx="0" formatCode="General">
                  <c:v>1</c:v>
                </c:pt>
                <c:pt idx="1">
                  <c:v>1.2115276586285886</c:v>
                </c:pt>
                <c:pt idx="2">
                  <c:v>1.4677992676220699</c:v>
                </c:pt>
                <c:pt idx="3">
                  <c:v>1.7782794100389234</c:v>
                </c:pt>
                <c:pt idx="4">
                  <c:v>2.1544346900318847</c:v>
                </c:pt>
                <c:pt idx="5">
                  <c:v>2.6101572156825381</c:v>
                </c:pt>
                <c:pt idx="6">
                  <c:v>3.1622776601683813</c:v>
                </c:pt>
                <c:pt idx="7">
                  <c:v>3.8311868495572905</c:v>
                </c:pt>
                <c:pt idx="8">
                  <c:v>4.6415888336127828</c:v>
                </c:pt>
                <c:pt idx="9">
                  <c:v>5.6234132519034965</c:v>
                </c:pt>
                <c:pt idx="10">
                  <c:v>6.8129206905796202</c:v>
                </c:pt>
                <c:pt idx="11">
                  <c:v>8.254041852680194</c:v>
                </c:pt>
                <c:pt idx="12">
                  <c:v>10.000000000000012</c:v>
                </c:pt>
                <c:pt idx="13">
                  <c:v>12.115276586285901</c:v>
                </c:pt>
                <c:pt idx="14">
                  <c:v>14.677992676220718</c:v>
                </c:pt>
                <c:pt idx="15">
                  <c:v>17.782794100389257</c:v>
                </c:pt>
                <c:pt idx="16">
                  <c:v>21.544346900318875</c:v>
                </c:pt>
                <c:pt idx="17">
                  <c:v>26.101572156825416</c:v>
                </c:pt>
                <c:pt idx="18">
                  <c:v>31.622776601683857</c:v>
                </c:pt>
                <c:pt idx="19">
                  <c:v>38.311868495572959</c:v>
                </c:pt>
                <c:pt idx="20">
                  <c:v>46.415888336127892</c:v>
                </c:pt>
                <c:pt idx="21">
                  <c:v>56.234132519035036</c:v>
                </c:pt>
                <c:pt idx="22">
                  <c:v>68.129206905796295</c:v>
                </c:pt>
                <c:pt idx="23">
                  <c:v>82.540418526802057</c:v>
                </c:pt>
                <c:pt idx="24">
                  <c:v>100.00000000000027</c:v>
                </c:pt>
                <c:pt idx="25">
                  <c:v>121.15276586285918</c:v>
                </c:pt>
                <c:pt idx="26">
                  <c:v>146.77992676220737</c:v>
                </c:pt>
                <c:pt idx="27">
                  <c:v>177.82794100389279</c:v>
                </c:pt>
                <c:pt idx="28">
                  <c:v>215.44346900318902</c:v>
                </c:pt>
                <c:pt idx="29">
                  <c:v>261.01572156825449</c:v>
                </c:pt>
                <c:pt idx="30">
                  <c:v>316.22776601683893</c:v>
                </c:pt>
                <c:pt idx="31">
                  <c:v>383.11868495573003</c:v>
                </c:pt>
                <c:pt idx="32">
                  <c:v>464.15888336127949</c:v>
                </c:pt>
                <c:pt idx="33">
                  <c:v>562.34132519035109</c:v>
                </c:pt>
                <c:pt idx="34">
                  <c:v>681.29206905796377</c:v>
                </c:pt>
                <c:pt idx="35">
                  <c:v>825.40418526802148</c:v>
                </c:pt>
                <c:pt idx="36">
                  <c:v>1000.0000000000038</c:v>
                </c:pt>
                <c:pt idx="37">
                  <c:v>1211.5276586285931</c:v>
                </c:pt>
                <c:pt idx="38">
                  <c:v>1467.7992676220754</c:v>
                </c:pt>
                <c:pt idx="39">
                  <c:v>1778.2794100389301</c:v>
                </c:pt>
                <c:pt idx="40">
                  <c:v>2154.4346900318928</c:v>
                </c:pt>
                <c:pt idx="41">
                  <c:v>2610.1572156825482</c:v>
                </c:pt>
                <c:pt idx="42">
                  <c:v>3162.2776601683936</c:v>
                </c:pt>
                <c:pt idx="43">
                  <c:v>3831.1868495573053</c:v>
                </c:pt>
                <c:pt idx="44">
                  <c:v>4641.588833612801</c:v>
                </c:pt>
                <c:pt idx="45">
                  <c:v>5623.4132519035184</c:v>
                </c:pt>
                <c:pt idx="46">
                  <c:v>6812.9206905796473</c:v>
                </c:pt>
                <c:pt idx="47">
                  <c:v>8254.0418526802277</c:v>
                </c:pt>
                <c:pt idx="48">
                  <c:v>10000.000000000055</c:v>
                </c:pt>
                <c:pt idx="49">
                  <c:v>12115.276586285952</c:v>
                </c:pt>
                <c:pt idx="50">
                  <c:v>14677.99267622078</c:v>
                </c:pt>
                <c:pt idx="51">
                  <c:v>17782.794100389332</c:v>
                </c:pt>
                <c:pt idx="52">
                  <c:v>21544.346900318964</c:v>
                </c:pt>
                <c:pt idx="53">
                  <c:v>26101.572156825525</c:v>
                </c:pt>
                <c:pt idx="54">
                  <c:v>31622.776601683989</c:v>
                </c:pt>
                <c:pt idx="55">
                  <c:v>38311.868495573115</c:v>
                </c:pt>
                <c:pt idx="56">
                  <c:v>46415.888336128082</c:v>
                </c:pt>
                <c:pt idx="57">
                  <c:v>56234.132519035273</c:v>
                </c:pt>
                <c:pt idx="58">
                  <c:v>68129.206905796571</c:v>
                </c:pt>
                <c:pt idx="59">
                  <c:v>82540.418526802387</c:v>
                </c:pt>
                <c:pt idx="60">
                  <c:v>100000.00000000067</c:v>
                </c:pt>
                <c:pt idx="61">
                  <c:v>121152.76586285967</c:v>
                </c:pt>
                <c:pt idx="62">
                  <c:v>146779.92676220796</c:v>
                </c:pt>
                <c:pt idx="63">
                  <c:v>177827.94100389353</c:v>
                </c:pt>
                <c:pt idx="64">
                  <c:v>215443.46900318991</c:v>
                </c:pt>
                <c:pt idx="65">
                  <c:v>261015.72156825557</c:v>
                </c:pt>
                <c:pt idx="66">
                  <c:v>316227.76601684024</c:v>
                </c:pt>
                <c:pt idx="67">
                  <c:v>383118.68495573162</c:v>
                </c:pt>
                <c:pt idx="68">
                  <c:v>464158.88336128136</c:v>
                </c:pt>
                <c:pt idx="69">
                  <c:v>562341.32519035332</c:v>
                </c:pt>
                <c:pt idx="70">
                  <c:v>681292.06905796647</c:v>
                </c:pt>
                <c:pt idx="71">
                  <c:v>825404.1852680248</c:v>
                </c:pt>
                <c:pt idx="72">
                  <c:v>1000000.0000000078</c:v>
                </c:pt>
              </c:numCache>
            </c:numRef>
          </c:xVal>
          <c:yVal>
            <c:numRef>
              <c:f>Лист3!$X$3:$X$75</c:f>
              <c:numCache>
                <c:formatCode>General</c:formatCode>
                <c:ptCount val="73"/>
                <c:pt idx="0">
                  <c:v>8.9999998571374735E-4</c:v>
                </c:pt>
                <c:pt idx="1">
                  <c:v>1.0903748673607844E-3</c:v>
                </c:pt>
                <c:pt idx="2">
                  <c:v>1.3210192956827694E-3</c:v>
                </c:pt>
                <c:pt idx="3">
                  <c:v>1.6004513886975517E-3</c:v>
                </c:pt>
                <c:pt idx="4">
                  <c:v>1.9389910781662067E-3</c:v>
                </c:pt>
                <c:pt idx="5">
                  <c:v>2.3491412400648689E-3</c:v>
                </c:pt>
                <c:pt idx="6">
                  <c:v>2.846049442380792E-3</c:v>
                </c:pt>
                <c:pt idx="7">
                  <c:v>3.4480673612271285E-3</c:v>
                </c:pt>
                <c:pt idx="8">
                  <c:v>4.1774285216277301E-3</c:v>
                </c:pt>
                <c:pt idx="9">
                  <c:v>5.0610693862221208E-3</c:v>
                </c:pt>
                <c:pt idx="10">
                  <c:v>6.1316241038218682E-3</c:v>
                </c:pt>
                <c:pt idx="11">
                  <c:v>7.4286296336880222E-3</c:v>
                </c:pt>
                <c:pt idx="12">
                  <c:v>8.9999857138153387E-3</c:v>
                </c:pt>
                <c:pt idx="13">
                  <c:v>1.0903723522885538E-2</c:v>
                </c:pt>
                <c:pt idx="14">
                  <c:v>1.3210148231963011E-2</c:v>
                </c:pt>
                <c:pt idx="15">
                  <c:v>1.6004434354052948E-2</c:v>
                </c:pt>
                <c:pt idx="16">
                  <c:v>1.9389769350904681E-2</c:v>
                </c:pt>
                <c:pt idx="17">
                  <c:v>2.349116089985814E-2</c:v>
                </c:pt>
                <c:pt idx="18">
                  <c:v>2.8460047191949601E-2</c:v>
                </c:pt>
                <c:pt idx="19">
                  <c:v>3.4479878326866824E-2</c:v>
                </c:pt>
                <c:pt idx="20">
                  <c:v>4.1772871023077349E-2</c:v>
                </c:pt>
                <c:pt idx="21">
                  <c:v>5.0608179152828503E-2</c:v>
                </c:pt>
                <c:pt idx="22">
                  <c:v>6.1311769498746331E-2</c:v>
                </c:pt>
                <c:pt idx="23">
                  <c:v>7.4278345516176375E-2</c:v>
                </c:pt>
                <c:pt idx="24">
                  <c:v>8.9985720512512579E-2</c:v>
                </c:pt>
                <c:pt idx="25">
                  <c:v>0.10901210198162614</c:v>
                </c:pt>
                <c:pt idx="26">
                  <c:v>0.13205680305265349</c:v>
                </c:pt>
                <c:pt idx="27">
                  <c:v>0.15996492957786312</c:v>
                </c:pt>
                <c:pt idx="28">
                  <c:v>0.19375657303576418</c:v>
                </c:pt>
                <c:pt idx="29">
                  <c:v>0.23466091725770433</c:v>
                </c:pt>
                <c:pt idx="30">
                  <c:v>0.28415534859804259</c:v>
                </c:pt>
                <c:pt idx="31">
                  <c:v>0.34400898921985223</c:v>
                </c:pt>
                <c:pt idx="32">
                  <c:v>0.41632880362905333</c:v>
                </c:pt>
                <c:pt idx="33">
                  <c:v>0.5036041948943164</c:v>
                </c:pt>
                <c:pt idx="34">
                  <c:v>0.608742353435063</c:v>
                </c:pt>
                <c:pt idx="35">
                  <c:v>0.73508119400955263</c:v>
                </c:pt>
                <c:pt idx="36">
                  <c:v>0.88635989344733601</c:v>
                </c:pt>
                <c:pt idx="37">
                  <c:v>1.066621484024042</c:v>
                </c:pt>
                <c:pt idx="38">
                  <c:v>1.280025587621781</c:v>
                </c:pt>
                <c:pt idx="39">
                  <c:v>1.5305790672363944</c:v>
                </c:pt>
                <c:pt idx="40">
                  <c:v>1.8218728544688281</c:v>
                </c:pt>
                <c:pt idx="41">
                  <c:v>2.1570562148642263</c:v>
                </c:pt>
                <c:pt idx="42">
                  <c:v>2.5394270553796843</c:v>
                </c:pt>
                <c:pt idx="43">
                  <c:v>2.9739818810135152</c:v>
                </c:pt>
                <c:pt idx="44">
                  <c:v>3.4698303413393101</c:v>
                </c:pt>
                <c:pt idx="45">
                  <c:v>4.0426486405200697</c:v>
                </c:pt>
                <c:pt idx="46">
                  <c:v>4.7160020829942466</c:v>
                </c:pt>
                <c:pt idx="47">
                  <c:v>5.5210044589969858</c:v>
                </c:pt>
                <c:pt idx="48">
                  <c:v>6.4949204048047697</c:v>
                </c:pt>
                <c:pt idx="49">
                  <c:v>7.6798158336249607</c:v>
                </c:pt>
                <c:pt idx="50">
                  <c:v>9.1218706980907207</c:v>
                </c:pt>
                <c:pt idx="51">
                  <c:v>10.871139421021748</c:v>
                </c:pt>
                <c:pt idx="52">
                  <c:v>12.980993044122503</c:v>
                </c:pt>
                <c:pt idx="53">
                  <c:v>15.506257623997916</c:v>
                </c:pt>
                <c:pt idx="54">
                  <c:v>18.498992933801858</c:v>
                </c:pt>
                <c:pt idx="55">
                  <c:v>22.000920120843528</c:v>
                </c:pt>
                <c:pt idx="56">
                  <c:v>26.031998799978609</c:v>
                </c:pt>
                <c:pt idx="57">
                  <c:v>30.576074231949892</c:v>
                </c:pt>
                <c:pt idx="58">
                  <c:v>35.567130558245843</c:v>
                </c:pt>
                <c:pt idx="59">
                  <c:v>40.882612573545643</c:v>
                </c:pt>
                <c:pt idx="60">
                  <c:v>46.350827240551418</c:v>
                </c:pt>
                <c:pt idx="61">
                  <c:v>51.774709377446868</c:v>
                </c:pt>
                <c:pt idx="62">
                  <c:v>56.965348980775701</c:v>
                </c:pt>
                <c:pt idx="63">
                  <c:v>61.772324293931284</c:v>
                </c:pt>
                <c:pt idx="64">
                  <c:v>66.100030504842067</c:v>
                </c:pt>
                <c:pt idx="65">
                  <c:v>69.907745881059014</c:v>
                </c:pt>
                <c:pt idx="66">
                  <c:v>73.198655193137711</c:v>
                </c:pt>
                <c:pt idx="67">
                  <c:v>76.005085144433309</c:v>
                </c:pt>
                <c:pt idx="68">
                  <c:v>78.375109800372954</c:v>
                </c:pt>
                <c:pt idx="69">
                  <c:v>80.362674222776533</c:v>
                </c:pt>
                <c:pt idx="70">
                  <c:v>82.021324619136692</c:v>
                </c:pt>
                <c:pt idx="71">
                  <c:v>83.400755954764989</c:v>
                </c:pt>
                <c:pt idx="72">
                  <c:v>84.54525379227421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75F-4958-A74B-5D7762B3549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Лист3!$V$3:$V$75</c:f>
              <c:numCache>
                <c:formatCode>0.000</c:formatCode>
                <c:ptCount val="73"/>
                <c:pt idx="0" formatCode="General">
                  <c:v>1</c:v>
                </c:pt>
                <c:pt idx="1">
                  <c:v>1.2115276586285886</c:v>
                </c:pt>
                <c:pt idx="2">
                  <c:v>1.4677992676220699</c:v>
                </c:pt>
                <c:pt idx="3">
                  <c:v>1.7782794100389234</c:v>
                </c:pt>
                <c:pt idx="4">
                  <c:v>2.1544346900318847</c:v>
                </c:pt>
                <c:pt idx="5">
                  <c:v>2.6101572156825381</c:v>
                </c:pt>
                <c:pt idx="6">
                  <c:v>3.1622776601683813</c:v>
                </c:pt>
                <c:pt idx="7">
                  <c:v>3.8311868495572905</c:v>
                </c:pt>
                <c:pt idx="8">
                  <c:v>4.6415888336127828</c:v>
                </c:pt>
                <c:pt idx="9">
                  <c:v>5.6234132519034965</c:v>
                </c:pt>
                <c:pt idx="10">
                  <c:v>6.8129206905796202</c:v>
                </c:pt>
                <c:pt idx="11">
                  <c:v>8.254041852680194</c:v>
                </c:pt>
                <c:pt idx="12">
                  <c:v>10.000000000000012</c:v>
                </c:pt>
                <c:pt idx="13">
                  <c:v>12.115276586285901</c:v>
                </c:pt>
                <c:pt idx="14">
                  <c:v>14.677992676220718</c:v>
                </c:pt>
                <c:pt idx="15">
                  <c:v>17.782794100389257</c:v>
                </c:pt>
                <c:pt idx="16">
                  <c:v>21.544346900318875</c:v>
                </c:pt>
                <c:pt idx="17">
                  <c:v>26.101572156825416</c:v>
                </c:pt>
                <c:pt idx="18">
                  <c:v>31.622776601683857</c:v>
                </c:pt>
                <c:pt idx="19">
                  <c:v>38.311868495572959</c:v>
                </c:pt>
                <c:pt idx="20">
                  <c:v>46.415888336127892</c:v>
                </c:pt>
                <c:pt idx="21">
                  <c:v>56.234132519035036</c:v>
                </c:pt>
                <c:pt idx="22">
                  <c:v>68.129206905796295</c:v>
                </c:pt>
                <c:pt idx="23">
                  <c:v>82.540418526802057</c:v>
                </c:pt>
                <c:pt idx="24">
                  <c:v>100.00000000000027</c:v>
                </c:pt>
                <c:pt idx="25">
                  <c:v>121.15276586285918</c:v>
                </c:pt>
                <c:pt idx="26">
                  <c:v>146.77992676220737</c:v>
                </c:pt>
                <c:pt idx="27">
                  <c:v>177.82794100389279</c:v>
                </c:pt>
                <c:pt idx="28">
                  <c:v>215.44346900318902</c:v>
                </c:pt>
                <c:pt idx="29">
                  <c:v>261.01572156825449</c:v>
                </c:pt>
                <c:pt idx="30">
                  <c:v>316.22776601683893</c:v>
                </c:pt>
                <c:pt idx="31">
                  <c:v>383.11868495573003</c:v>
                </c:pt>
                <c:pt idx="32">
                  <c:v>464.15888336127949</c:v>
                </c:pt>
                <c:pt idx="33">
                  <c:v>562.34132519035109</c:v>
                </c:pt>
                <c:pt idx="34">
                  <c:v>681.29206905796377</c:v>
                </c:pt>
                <c:pt idx="35">
                  <c:v>825.40418526802148</c:v>
                </c:pt>
                <c:pt idx="36">
                  <c:v>1000.0000000000038</c:v>
                </c:pt>
                <c:pt idx="37">
                  <c:v>1211.5276586285931</c:v>
                </c:pt>
                <c:pt idx="38">
                  <c:v>1467.7992676220754</c:v>
                </c:pt>
                <c:pt idx="39">
                  <c:v>1778.2794100389301</c:v>
                </c:pt>
                <c:pt idx="40">
                  <c:v>2154.4346900318928</c:v>
                </c:pt>
                <c:pt idx="41">
                  <c:v>2610.1572156825482</c:v>
                </c:pt>
                <c:pt idx="42">
                  <c:v>3162.2776601683936</c:v>
                </c:pt>
                <c:pt idx="43">
                  <c:v>3831.1868495573053</c:v>
                </c:pt>
                <c:pt idx="44">
                  <c:v>4641.588833612801</c:v>
                </c:pt>
                <c:pt idx="45">
                  <c:v>5623.4132519035184</c:v>
                </c:pt>
                <c:pt idx="46">
                  <c:v>6812.9206905796473</c:v>
                </c:pt>
                <c:pt idx="47">
                  <c:v>8254.0418526802277</c:v>
                </c:pt>
                <c:pt idx="48">
                  <c:v>10000.000000000055</c:v>
                </c:pt>
                <c:pt idx="49">
                  <c:v>12115.276586285952</c:v>
                </c:pt>
                <c:pt idx="50">
                  <c:v>14677.99267622078</c:v>
                </c:pt>
                <c:pt idx="51">
                  <c:v>17782.794100389332</c:v>
                </c:pt>
                <c:pt idx="52">
                  <c:v>21544.346900318964</c:v>
                </c:pt>
                <c:pt idx="53">
                  <c:v>26101.572156825525</c:v>
                </c:pt>
                <c:pt idx="54">
                  <c:v>31622.776601683989</c:v>
                </c:pt>
                <c:pt idx="55">
                  <c:v>38311.868495573115</c:v>
                </c:pt>
                <c:pt idx="56">
                  <c:v>46415.888336128082</c:v>
                </c:pt>
                <c:pt idx="57">
                  <c:v>56234.132519035273</c:v>
                </c:pt>
                <c:pt idx="58">
                  <c:v>68129.206905796571</c:v>
                </c:pt>
                <c:pt idx="59">
                  <c:v>82540.418526802387</c:v>
                </c:pt>
                <c:pt idx="60">
                  <c:v>100000.00000000067</c:v>
                </c:pt>
                <c:pt idx="61">
                  <c:v>121152.76586285967</c:v>
                </c:pt>
                <c:pt idx="62">
                  <c:v>146779.92676220796</c:v>
                </c:pt>
                <c:pt idx="63">
                  <c:v>177827.94100389353</c:v>
                </c:pt>
                <c:pt idx="64">
                  <c:v>215443.46900318991</c:v>
                </c:pt>
                <c:pt idx="65">
                  <c:v>261015.72156825557</c:v>
                </c:pt>
                <c:pt idx="66">
                  <c:v>316227.76601684024</c:v>
                </c:pt>
                <c:pt idx="67">
                  <c:v>383118.68495573162</c:v>
                </c:pt>
                <c:pt idx="68">
                  <c:v>464158.88336128136</c:v>
                </c:pt>
                <c:pt idx="69">
                  <c:v>562341.32519035332</c:v>
                </c:pt>
                <c:pt idx="70">
                  <c:v>681292.06905796647</c:v>
                </c:pt>
                <c:pt idx="71">
                  <c:v>825404.1852680248</c:v>
                </c:pt>
                <c:pt idx="72">
                  <c:v>1000000.0000000078</c:v>
                </c:pt>
              </c:numCache>
            </c:numRef>
          </c:xVal>
          <c:yVal>
            <c:numRef>
              <c:f>Лист3!$Z$3:$Z$75</c:f>
              <c:numCache>
                <c:formatCode>General</c:formatCode>
                <c:ptCount val="73"/>
                <c:pt idx="0">
                  <c:v>7.4295518073713653</c:v>
                </c:pt>
                <c:pt idx="1">
                  <c:v>8.9785122322859969</c:v>
                </c:pt>
                <c:pt idx="2">
                  <c:v>10.837983674989102</c:v>
                </c:pt>
                <c:pt idx="3">
                  <c:v>13.061003888398297</c:v>
                </c:pt>
                <c:pt idx="4">
                  <c:v>15.703029173413292</c:v>
                </c:pt>
                <c:pt idx="5">
                  <c:v>18.81707556963482</c:v>
                </c:pt>
                <c:pt idx="6">
                  <c:v>22.445560973230883</c:v>
                </c:pt>
                <c:pt idx="7">
                  <c:v>26.608422938477435</c:v>
                </c:pt>
                <c:pt idx="8">
                  <c:v>31.288587330085992</c:v>
                </c:pt>
                <c:pt idx="9">
                  <c:v>36.418564914457249</c:v>
                </c:pt>
                <c:pt idx="10">
                  <c:v>41.874810925505336</c:v>
                </c:pt>
                <c:pt idx="11">
                  <c:v>47.486672417540476</c:v>
                </c:pt>
                <c:pt idx="12">
                  <c:v>53.061534884478398</c:v>
                </c:pt>
                <c:pt idx="13">
                  <c:v>58.418797389250017</c:v>
                </c:pt>
                <c:pt idx="14">
                  <c:v>63.41953806437018</c:v>
                </c:pt>
                <c:pt idx="15">
                  <c:v>67.981646062134971</c:v>
                </c:pt>
                <c:pt idx="16">
                  <c:v>72.078961536543446</c:v>
                </c:pt>
                <c:pt idx="17">
                  <c:v>75.73005567077675</c:v>
                </c:pt>
                <c:pt idx="18">
                  <c:v>78.983847791657709</c:v>
                </c:pt>
                <c:pt idx="19">
                  <c:v>81.906958159803096</c:v>
                </c:pt>
                <c:pt idx="20">
                  <c:v>84.574716777524657</c:v>
                </c:pt>
                <c:pt idx="21">
                  <c:v>87.065787158738729</c:v>
                </c:pt>
                <c:pt idx="22">
                  <c:v>89.459549966691569</c:v>
                </c:pt>
                <c:pt idx="23">
                  <c:v>91.835260204719418</c:v>
                </c:pt>
                <c:pt idx="24">
                  <c:v>94.272110396830698</c:v>
                </c:pt>
                <c:pt idx="25">
                  <c:v>96.849455478369023</c:v>
                </c:pt>
                <c:pt idx="26">
                  <c:v>99.646481771264064</c:v>
                </c:pt>
                <c:pt idx="27">
                  <c:v>102.74051675257199</c:v>
                </c:pt>
                <c:pt idx="28">
                  <c:v>106.20303544720161</c:v>
                </c:pt>
                <c:pt idx="29">
                  <c:v>110.09239402142258</c:v>
                </c:pt>
                <c:pt idx="30">
                  <c:v>114.44276012542295</c:v>
                </c:pt>
                <c:pt idx="31">
                  <c:v>119.25010654394045</c:v>
                </c:pt>
                <c:pt idx="32">
                  <c:v>124.45874453969897</c:v>
                </c:pt>
                <c:pt idx="33">
                  <c:v>129.95481781901174</c:v>
                </c:pt>
                <c:pt idx="34">
                  <c:v>135.57378047866277</c:v>
                </c:pt>
                <c:pt idx="35">
                  <c:v>141.12422506834471</c:v>
                </c:pt>
                <c:pt idx="36">
                  <c:v>146.4215600190185</c:v>
                </c:pt>
                <c:pt idx="37">
                  <c:v>151.31861252263576</c:v>
                </c:pt>
                <c:pt idx="38">
                  <c:v>155.72227929860929</c:v>
                </c:pt>
                <c:pt idx="39">
                  <c:v>159.59386779706313</c:v>
                </c:pt>
                <c:pt idx="40">
                  <c:v>162.938295760328</c:v>
                </c:pt>
                <c:pt idx="41">
                  <c:v>165.78941297347771</c:v>
                </c:pt>
                <c:pt idx="42">
                  <c:v>168.19663949635591</c:v>
                </c:pt>
                <c:pt idx="43">
                  <c:v>170.21510073832394</c:v>
                </c:pt>
                <c:pt idx="44">
                  <c:v>171.89936545254679</c:v>
                </c:pt>
                <c:pt idx="45">
                  <c:v>173.30000391084681</c:v>
                </c:pt>
                <c:pt idx="46">
                  <c:v>174.46204351771254</c:v>
                </c:pt>
                <c:pt idx="47">
                  <c:v>175.42456970793657</c:v>
                </c:pt>
                <c:pt idx="48">
                  <c:v>176.22095162022245</c:v>
                </c:pt>
                <c:pt idx="49">
                  <c:v>176.87936640991524</c:v>
                </c:pt>
                <c:pt idx="50">
                  <c:v>177.42343255242216</c:v>
                </c:pt>
                <c:pt idx="51">
                  <c:v>177.87284948427271</c:v>
                </c:pt>
                <c:pt idx="52">
                  <c:v>178.24399293360565</c:v>
                </c:pt>
                <c:pt idx="53">
                  <c:v>178.55044482500102</c:v>
                </c:pt>
                <c:pt idx="54">
                  <c:v>178.80345256969062</c:v>
                </c:pt>
                <c:pt idx="55">
                  <c:v>179.01232057806067</c:v>
                </c:pt>
                <c:pt idx="56">
                  <c:v>179.18474043217154</c:v>
                </c:pt>
                <c:pt idx="57">
                  <c:v>179.32706737119074</c:v>
                </c:pt>
                <c:pt idx="58">
                  <c:v>179.44455073568244</c:v>
                </c:pt>
                <c:pt idx="59">
                  <c:v>179.54152543453003</c:v>
                </c:pt>
                <c:pt idx="60">
                  <c:v>179.62157069032588</c:v>
                </c:pt>
                <c:pt idx="61">
                  <c:v>179.68764146680385</c:v>
                </c:pt>
                <c:pt idx="62">
                  <c:v>179.74217717370246</c:v>
                </c:pt>
                <c:pt idx="63">
                  <c:v>179.78719151828446</c:v>
                </c:pt>
                <c:pt idx="64">
                  <c:v>179.82434674006956</c:v>
                </c:pt>
                <c:pt idx="65">
                  <c:v>179.85501492437643</c:v>
                </c:pt>
                <c:pt idx="66">
                  <c:v>179.88032863320777</c:v>
                </c:pt>
                <c:pt idx="67">
                  <c:v>179.90122270880906</c:v>
                </c:pt>
                <c:pt idx="68">
                  <c:v>179.91846878559511</c:v>
                </c:pt>
                <c:pt idx="69">
                  <c:v>179.932703780428</c:v>
                </c:pt>
                <c:pt idx="70">
                  <c:v>179.9444534108554</c:v>
                </c:pt>
                <c:pt idx="71">
                  <c:v>179.9541516084243</c:v>
                </c:pt>
                <c:pt idx="72">
                  <c:v>179.96215654322097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75F-4958-A74B-5D7762B354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5561983"/>
        <c:axId val="1084334463"/>
      </c:scatterChart>
      <c:valAx>
        <c:axId val="1065561983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f,</a:t>
                </a:r>
                <a:r>
                  <a:rPr lang="en-US" baseline="0"/>
                  <a:t> </a:t>
                </a:r>
                <a:r>
                  <a:rPr lang="ru-RU" baseline="0"/>
                  <a:t>Гц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92006824146981625"/>
              <c:y val="0.82312481773111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4334463"/>
        <c:crosses val="autoZero"/>
        <c:crossBetween val="midCat"/>
      </c:valAx>
      <c:valAx>
        <c:axId val="1084334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ФЧХ,°</a:t>
                </a:r>
              </a:p>
            </c:rich>
          </c:tx>
          <c:layout>
            <c:manualLayout>
              <c:xMode val="edge"/>
              <c:yMode val="edge"/>
              <c:x val="9.4444444444444442E-2"/>
              <c:y val="5.8776975794692328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65561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1</xdr:row>
      <xdr:rowOff>90487</xdr:rowOff>
    </xdr:from>
    <xdr:to>
      <xdr:col>16</xdr:col>
      <xdr:colOff>542925</xdr:colOff>
      <xdr:row>15</xdr:row>
      <xdr:rowOff>166687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9A41A7B-B0E5-B88C-B1E4-F7D27F3EA5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278052</xdr:colOff>
      <xdr:row>17</xdr:row>
      <xdr:rowOff>9043</xdr:rowOff>
    </xdr:from>
    <xdr:to>
      <xdr:col>17</xdr:col>
      <xdr:colOff>961</xdr:colOff>
      <xdr:row>31</xdr:row>
      <xdr:rowOff>58304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DD94A72D-C0AE-D101-27A6-4204BD849D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495300</xdr:colOff>
      <xdr:row>19</xdr:row>
      <xdr:rowOff>195262</xdr:rowOff>
    </xdr:from>
    <xdr:to>
      <xdr:col>34</xdr:col>
      <xdr:colOff>190500</xdr:colOff>
      <xdr:row>33</xdr:row>
      <xdr:rowOff>195262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F8A61801-7914-1778-B02E-6EBF95EF62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EEF0A-5A78-41C1-826D-29A58D2CEB5F}">
  <dimension ref="A1:T30"/>
  <sheetViews>
    <sheetView zoomScale="99" zoomScaleNormal="100" workbookViewId="0">
      <selection activeCell="T31" sqref="T31"/>
    </sheetView>
  </sheetViews>
  <sheetFormatPr defaultRowHeight="15" x14ac:dyDescent="0.25"/>
  <cols>
    <col min="2" max="3" width="12" bestFit="1" customWidth="1"/>
    <col min="20" max="20" width="31.5703125" customWidth="1"/>
  </cols>
  <sheetData>
    <row r="1" spans="1:20" ht="1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20" x14ac:dyDescent="0.25">
      <c r="A2">
        <v>1</v>
      </c>
      <c r="B2">
        <v>3E-9</v>
      </c>
      <c r="C2">
        <v>0.99199999999999999</v>
      </c>
      <c r="D2">
        <f>20*LOG10(B2)</f>
        <v>-170.45757490560675</v>
      </c>
      <c r="E2">
        <f>20*LOG10(C2)</f>
        <v>-6.9766556916426942E-2</v>
      </c>
    </row>
    <row r="3" spans="1:20" x14ac:dyDescent="0.25">
      <c r="A3">
        <v>2</v>
      </c>
      <c r="B3">
        <v>1.3E-7</v>
      </c>
      <c r="C3">
        <v>0.96799999999999997</v>
      </c>
      <c r="D3">
        <f t="shared" ref="D3:D22" si="0">20*LOG10(B3)</f>
        <v>-137.72113295386328</v>
      </c>
      <c r="E3">
        <f t="shared" ref="E3:E22" si="1">20*LOG10(C3)</f>
        <v>-0.28249285383212691</v>
      </c>
      <c r="T3">
        <f>B30-B29</f>
        <v>5.6299999999999926E-4</v>
      </c>
    </row>
    <row r="4" spans="1:20" x14ac:dyDescent="0.25">
      <c r="A4">
        <v>5</v>
      </c>
      <c r="B4">
        <v>8.1299999999999999E-7</v>
      </c>
      <c r="C4">
        <v>0.83899999999999997</v>
      </c>
      <c r="D4">
        <f t="shared" si="0"/>
        <v>-121.79818908811865</v>
      </c>
      <c r="E4">
        <f t="shared" si="1"/>
        <v>-1.5247607834259949</v>
      </c>
      <c r="S4" t="s">
        <v>5</v>
      </c>
      <c r="T4">
        <f>T3/15</f>
        <v>3.7533333333333281E-5</v>
      </c>
    </row>
    <row r="5" spans="1:20" x14ac:dyDescent="0.25">
      <c r="A5">
        <v>10</v>
      </c>
      <c r="B5">
        <v>3.2320000000000001E-6</v>
      </c>
      <c r="C5">
        <v>0.61099999999999999</v>
      </c>
      <c r="D5">
        <f t="shared" si="0"/>
        <v>-109.81057295794903</v>
      </c>
      <c r="E5">
        <f t="shared" si="1"/>
        <v>-4.279175795148916</v>
      </c>
    </row>
    <row r="6" spans="1:20" x14ac:dyDescent="0.25">
      <c r="A6">
        <v>20</v>
      </c>
      <c r="B6">
        <v>1.2999999999999999E-5</v>
      </c>
      <c r="C6">
        <v>0.36099999999999999</v>
      </c>
      <c r="D6">
        <f t="shared" si="0"/>
        <v>-97.721132953863261</v>
      </c>
      <c r="E6">
        <f t="shared" si="1"/>
        <v>-8.849855961886842</v>
      </c>
      <c r="T6">
        <f>T4*565</f>
        <v>2.1206333333333303E-2</v>
      </c>
    </row>
    <row r="7" spans="1:20" x14ac:dyDescent="0.25">
      <c r="A7">
        <v>50</v>
      </c>
      <c r="B7">
        <v>8.0000000000000007E-5</v>
      </c>
      <c r="C7">
        <v>0.152</v>
      </c>
      <c r="D7">
        <f t="shared" si="0"/>
        <v>-81.938200260161125</v>
      </c>
      <c r="E7">
        <f t="shared" si="1"/>
        <v>-16.363128241104551</v>
      </c>
      <c r="S7" t="s">
        <v>6</v>
      </c>
      <c r="T7">
        <f>B29-T6</f>
        <v>-1.0902333333333302E-2</v>
      </c>
    </row>
    <row r="8" spans="1:20" x14ac:dyDescent="0.25">
      <c r="A8">
        <v>100</v>
      </c>
      <c r="B8">
        <v>3.1799999999999998E-4</v>
      </c>
      <c r="C8">
        <v>7.5999999999999998E-2</v>
      </c>
      <c r="D8">
        <f t="shared" si="0"/>
        <v>-69.951457600311343</v>
      </c>
      <c r="E8">
        <f t="shared" si="1"/>
        <v>-22.383728154384173</v>
      </c>
    </row>
    <row r="9" spans="1:20" x14ac:dyDescent="0.25">
      <c r="A9">
        <v>200</v>
      </c>
      <c r="B9">
        <v>1.274E-3</v>
      </c>
      <c r="C9">
        <v>3.6999999999999998E-2</v>
      </c>
      <c r="D9">
        <f t="shared" si="0"/>
        <v>-57.896611440013366</v>
      </c>
      <c r="E9">
        <f t="shared" si="1"/>
        <v>-28.6359655186601</v>
      </c>
    </row>
    <row r="10" spans="1:20" x14ac:dyDescent="0.25">
      <c r="A10">
        <v>500</v>
      </c>
      <c r="B10">
        <v>8.0420000000000005E-3</v>
      </c>
      <c r="C10">
        <v>1.2E-2</v>
      </c>
      <c r="D10">
        <f t="shared" si="0"/>
        <v>-41.892718624662152</v>
      </c>
      <c r="E10">
        <f t="shared" si="1"/>
        <v>-38.416375079047505</v>
      </c>
    </row>
    <row r="11" spans="1:20" x14ac:dyDescent="0.25">
      <c r="A11">
        <v>1000</v>
      </c>
      <c r="B11">
        <v>3.3000000000000002E-2</v>
      </c>
      <c r="C11">
        <v>4.2189999999999997E-3</v>
      </c>
      <c r="D11">
        <f t="shared" si="0"/>
        <v>-29.629721202442248</v>
      </c>
      <c r="E11">
        <f t="shared" si="1"/>
        <v>-47.495809492362383</v>
      </c>
      <c r="T11">
        <f>C30-C29</f>
        <v>-3.8200000000000039E-4</v>
      </c>
    </row>
    <row r="12" spans="1:20" x14ac:dyDescent="0.25">
      <c r="A12">
        <v>2000</v>
      </c>
      <c r="B12">
        <v>0.157</v>
      </c>
      <c r="C12">
        <v>1.1969999999999999E-3</v>
      </c>
      <c r="D12">
        <f t="shared" si="0"/>
        <v>-16.082006951815323</v>
      </c>
      <c r="E12">
        <f t="shared" si="1"/>
        <v>-58.438116991871787</v>
      </c>
      <c r="S12" t="s">
        <v>7</v>
      </c>
      <c r="T12">
        <f>T11/15</f>
        <v>-2.5466666666666692E-5</v>
      </c>
    </row>
    <row r="13" spans="1:20" x14ac:dyDescent="0.25">
      <c r="A13">
        <v>5000</v>
      </c>
      <c r="B13">
        <v>4.1239999999999997</v>
      </c>
      <c r="C13">
        <v>2.0000000000000001E-4</v>
      </c>
      <c r="D13">
        <f t="shared" si="0"/>
        <v>12.306373132229577</v>
      </c>
      <c r="E13">
        <f t="shared" si="1"/>
        <v>-73.979400086720375</v>
      </c>
    </row>
    <row r="14" spans="1:20" x14ac:dyDescent="0.25">
      <c r="A14">
        <v>10000</v>
      </c>
      <c r="B14">
        <v>0.84</v>
      </c>
      <c r="C14">
        <v>5.0000000000000002E-5</v>
      </c>
      <c r="D14">
        <f t="shared" si="0"/>
        <v>-1.5144142787623671</v>
      </c>
      <c r="E14">
        <f t="shared" si="1"/>
        <v>-86.020599913279625</v>
      </c>
      <c r="T14">
        <f>T12*565</f>
        <v>-1.4388666666666682E-2</v>
      </c>
    </row>
    <row r="15" spans="1:20" x14ac:dyDescent="0.25">
      <c r="A15">
        <v>20000</v>
      </c>
      <c r="B15">
        <v>0.68899999999999995</v>
      </c>
      <c r="C15">
        <v>1.2999999999999999E-5</v>
      </c>
      <c r="D15">
        <f t="shared" si="0"/>
        <v>-3.2356155618474842</v>
      </c>
      <c r="E15">
        <f t="shared" si="1"/>
        <v>-97.721132953863261</v>
      </c>
      <c r="S15" t="s">
        <v>6</v>
      </c>
      <c r="T15">
        <f>C29-T14</f>
        <v>2.4726666666666682E-2</v>
      </c>
    </row>
    <row r="16" spans="1:20" x14ac:dyDescent="0.25">
      <c r="A16">
        <v>50000</v>
      </c>
      <c r="B16">
        <v>0.59599999999999997</v>
      </c>
      <c r="C16">
        <v>2.013E-6</v>
      </c>
      <c r="D16">
        <f t="shared" si="0"/>
        <v>-4.4950748051952711</v>
      </c>
      <c r="E16">
        <f t="shared" si="1"/>
        <v>-113.92312450222691</v>
      </c>
    </row>
    <row r="17" spans="1:20" x14ac:dyDescent="0.25">
      <c r="A17">
        <v>100000</v>
      </c>
      <c r="B17">
        <v>0.46100000000000002</v>
      </c>
      <c r="C17">
        <v>5.0299999999999999E-7</v>
      </c>
      <c r="D17">
        <f t="shared" si="0"/>
        <v>-6.7259814922070369</v>
      </c>
      <c r="E17">
        <f t="shared" si="1"/>
        <v>-125.96864029888145</v>
      </c>
    </row>
    <row r="18" spans="1:20" x14ac:dyDescent="0.25">
      <c r="A18">
        <v>200000</v>
      </c>
      <c r="B18">
        <v>0.28699999999999998</v>
      </c>
      <c r="C18">
        <v>1.2599999999999999E-7</v>
      </c>
      <c r="D18">
        <f t="shared" si="0"/>
        <v>-10.842362065320154</v>
      </c>
      <c r="E18">
        <f t="shared" si="1"/>
        <v>-137.99258909764876</v>
      </c>
      <c r="T18">
        <f>T4-T12</f>
        <v>6.2999999999999973E-5</v>
      </c>
    </row>
    <row r="19" spans="1:20" x14ac:dyDescent="0.25">
      <c r="A19">
        <v>500000</v>
      </c>
      <c r="B19">
        <v>0.125</v>
      </c>
      <c r="C19">
        <v>2.6000000000000001E-8</v>
      </c>
      <c r="D19">
        <f t="shared" si="0"/>
        <v>-18.061799739838872</v>
      </c>
      <c r="E19">
        <f t="shared" si="1"/>
        <v>-151.70053304058365</v>
      </c>
      <c r="T19">
        <f>T15-T7</f>
        <v>3.562899999999998E-2</v>
      </c>
    </row>
    <row r="20" spans="1:20" x14ac:dyDescent="0.25">
      <c r="A20">
        <v>1000000</v>
      </c>
      <c r="B20">
        <v>6.3E-2</v>
      </c>
      <c r="C20">
        <v>5.0350000000000001E-9</v>
      </c>
      <c r="D20">
        <f t="shared" si="0"/>
        <v>-24.013189010928365</v>
      </c>
      <c r="E20">
        <f t="shared" si="1"/>
        <v>-165.96001050220724</v>
      </c>
    </row>
    <row r="21" spans="1:20" x14ac:dyDescent="0.25">
      <c r="A21">
        <v>2000000</v>
      </c>
      <c r="B21">
        <v>3.2000000000000001E-2</v>
      </c>
      <c r="C21">
        <v>1.25E-9</v>
      </c>
      <c r="D21">
        <f t="shared" si="0"/>
        <v>-29.897000433601878</v>
      </c>
      <c r="E21">
        <f t="shared" si="1"/>
        <v>-178.06179973983888</v>
      </c>
      <c r="T21">
        <f>T19/T18</f>
        <v>565.53968253968242</v>
      </c>
    </row>
    <row r="22" spans="1:20" x14ac:dyDescent="0.25">
      <c r="A22">
        <v>5000000</v>
      </c>
      <c r="B22">
        <v>1.2999999999999999E-2</v>
      </c>
      <c r="C22">
        <v>2.55E-10</v>
      </c>
      <c r="D22">
        <f t="shared" si="0"/>
        <v>-37.721132953863268</v>
      </c>
      <c r="E22">
        <f t="shared" si="1"/>
        <v>-191.86919639132088</v>
      </c>
    </row>
    <row r="26" spans="1:20" x14ac:dyDescent="0.25">
      <c r="A26">
        <v>510</v>
      </c>
      <c r="B26">
        <v>8.371E-3</v>
      </c>
      <c r="C26">
        <v>1.1937E-2</v>
      </c>
    </row>
    <row r="27" spans="1:20" x14ac:dyDescent="0.25">
      <c r="A27">
        <v>530</v>
      </c>
      <c r="B27">
        <v>9.0500000000000008E-3</v>
      </c>
      <c r="C27">
        <v>1.1316E-2</v>
      </c>
    </row>
    <row r="28" spans="1:20" x14ac:dyDescent="0.25">
      <c r="A28">
        <v>560</v>
      </c>
      <c r="B28">
        <v>1.0119E-2</v>
      </c>
      <c r="C28">
        <v>1.047E-2</v>
      </c>
    </row>
    <row r="29" spans="1:20" x14ac:dyDescent="0.25">
      <c r="A29">
        <v>565</v>
      </c>
      <c r="B29">
        <v>1.0304000000000001E-2</v>
      </c>
      <c r="C29">
        <v>1.0338E-2</v>
      </c>
    </row>
    <row r="30" spans="1:20" x14ac:dyDescent="0.25">
      <c r="A30">
        <v>580</v>
      </c>
      <c r="B30">
        <v>1.0867E-2</v>
      </c>
      <c r="C30">
        <v>9.9559999999999996E-3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5776C-385A-400F-84DE-734259DD1D4D}">
  <dimension ref="A1:M16"/>
  <sheetViews>
    <sheetView zoomScale="130" zoomScaleNormal="130" workbookViewId="0">
      <selection activeCell="B7" sqref="B7"/>
    </sheetView>
  </sheetViews>
  <sheetFormatPr defaultRowHeight="15" x14ac:dyDescent="0.25"/>
  <cols>
    <col min="1" max="1" width="15.28515625" customWidth="1"/>
    <col min="2" max="2" width="45.140625" customWidth="1"/>
    <col min="4" max="4" width="25" customWidth="1"/>
    <col min="5" max="5" width="20" customWidth="1"/>
    <col min="6" max="6" width="17.42578125" customWidth="1"/>
    <col min="7" max="7" width="28" customWidth="1"/>
    <col min="10" max="10" width="24.42578125" customWidth="1"/>
    <col min="11" max="11" width="10.42578125" bestFit="1" customWidth="1"/>
    <col min="13" max="13" width="20" customWidth="1"/>
  </cols>
  <sheetData>
    <row r="1" spans="1:13" ht="18" x14ac:dyDescent="0.35">
      <c r="A1" t="s">
        <v>9</v>
      </c>
      <c r="B1">
        <v>1.0387182999999999E-2</v>
      </c>
      <c r="D1">
        <v>1.0387182999999999E-2</v>
      </c>
      <c r="G1">
        <f>8*POWER(10,-10)*POWER(B6,2)</f>
        <v>1.0092931281420801E-2</v>
      </c>
      <c r="J1">
        <f>7.5*POWER(10,-4)*B6</f>
        <v>2.6639430000000002</v>
      </c>
      <c r="K1">
        <f>2*POWER(10,-2)*B6</f>
        <v>71.038480000000007</v>
      </c>
      <c r="L1">
        <f>J1+K1</f>
        <v>73.70242300000001</v>
      </c>
      <c r="M1">
        <f>POWER(L1,2)</f>
        <v>5432.0471560709302</v>
      </c>
    </row>
    <row r="2" spans="1:13" ht="18" x14ac:dyDescent="0.35">
      <c r="A2" t="s">
        <v>10</v>
      </c>
      <c r="B2">
        <f>1/SQRT(POWER((7.5*POWER(10,-4)*B6) + (2*POWER(10,-2)*B6),2)+POWER((5*POWER(10,-6)*B6*B6) - 1,2))</f>
        <v>1.0377288635438367E-2</v>
      </c>
    </row>
    <row r="3" spans="1:13" x14ac:dyDescent="0.25">
      <c r="E3">
        <f>12*POWER(10,-8)*POWER(B6,2)</f>
        <v>1.5139396922131203</v>
      </c>
      <c r="F3">
        <f>E3-1</f>
        <v>0.5139396922131203</v>
      </c>
      <c r="G3">
        <f>POWER(F3,2)</f>
        <v>0.26413400723211683</v>
      </c>
      <c r="J3">
        <f>5*POWER(10,-6)*POWER(B6,2)</f>
        <v>63.080820508879995</v>
      </c>
      <c r="K3">
        <f>J3-1</f>
        <v>62.080820508879995</v>
      </c>
      <c r="M3">
        <f>POWER(K3,2)</f>
        <v>3854.0282750557749</v>
      </c>
    </row>
    <row r="4" spans="1:13" ht="18" x14ac:dyDescent="0.35">
      <c r="A4" t="s">
        <v>8</v>
      </c>
      <c r="B4">
        <f>B1-B2</f>
        <v>9.8943645616324932E-6</v>
      </c>
    </row>
    <row r="5" spans="1:13" x14ac:dyDescent="0.25">
      <c r="E5">
        <f>2*POWER(10,-15)*POWER(B6,2)</f>
        <v>2.5232328203552002E-8</v>
      </c>
      <c r="F5">
        <f>2.5*POWER(10,-6)*B6</f>
        <v>8.8798099999999984E-3</v>
      </c>
      <c r="M5">
        <f>M1+M3</f>
        <v>9286.0754311267046</v>
      </c>
    </row>
    <row r="6" spans="1:13" x14ac:dyDescent="0.25">
      <c r="A6" s="1" t="s">
        <v>11</v>
      </c>
      <c r="B6">
        <v>3551.924</v>
      </c>
      <c r="E6">
        <f>E5-F5</f>
        <v>-8.8797847676717941E-3</v>
      </c>
      <c r="F6">
        <f>E6*POWER(B6,2)</f>
        <v>-112028.82181739823</v>
      </c>
      <c r="G6">
        <f>POWER(F6,2)</f>
        <v>12550456917.794361</v>
      </c>
    </row>
    <row r="7" spans="1:13" x14ac:dyDescent="0.25">
      <c r="M7">
        <f>SQRT(M5)</f>
        <v>96.364285039254582</v>
      </c>
    </row>
    <row r="8" spans="1:13" x14ac:dyDescent="0.25">
      <c r="G8">
        <f>G3+G6</f>
        <v>12550456918.058495</v>
      </c>
    </row>
    <row r="9" spans="1:13" x14ac:dyDescent="0.25">
      <c r="M9" s="2">
        <f>1/M7</f>
        <v>1.0377288635438367E-2</v>
      </c>
    </row>
    <row r="10" spans="1:13" x14ac:dyDescent="0.25">
      <c r="G10">
        <f>SQRT(G8)</f>
        <v>112028.8218185771</v>
      </c>
    </row>
    <row r="12" spans="1:13" x14ac:dyDescent="0.25">
      <c r="G12" s="2">
        <f>G1/G10</f>
        <v>9.0092273734393124E-8</v>
      </c>
    </row>
    <row r="16" spans="1:13" x14ac:dyDescent="0.25">
      <c r="J16">
        <f>G12-M9</f>
        <v>-1.0377198543164632E-2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3211A-625E-4C3A-BC6F-EF4C6A0A9534}">
  <dimension ref="A1:AH76"/>
  <sheetViews>
    <sheetView tabSelected="1" topLeftCell="S1" zoomScale="70" zoomScaleNormal="70" workbookViewId="0">
      <selection activeCell="AC39" sqref="AC39"/>
    </sheetView>
  </sheetViews>
  <sheetFormatPr defaultRowHeight="15" x14ac:dyDescent="0.25"/>
  <cols>
    <col min="4" max="4" width="19.42578125" customWidth="1"/>
    <col min="6" max="6" width="29.85546875" customWidth="1"/>
    <col min="7" max="7" width="40.42578125" customWidth="1"/>
    <col min="8" max="8" width="33.5703125" customWidth="1"/>
    <col min="14" max="14" width="21" customWidth="1"/>
    <col min="17" max="17" width="45.7109375" customWidth="1"/>
    <col min="18" max="18" width="66.85546875" customWidth="1"/>
    <col min="21" max="21" width="9.28515625" bestFit="1" customWidth="1"/>
    <col min="22" max="22" width="10.42578125" bestFit="1" customWidth="1"/>
    <col min="23" max="23" width="43.85546875" customWidth="1"/>
    <col min="24" max="24" width="16.28515625" customWidth="1"/>
    <col min="25" max="25" width="43.28515625" customWidth="1"/>
    <col min="26" max="26" width="14.28515625" customWidth="1"/>
    <col min="29" max="29" width="9.28515625" bestFit="1" customWidth="1"/>
    <col min="30" max="30" width="20.42578125" customWidth="1"/>
    <col min="31" max="31" width="27.5703125" customWidth="1"/>
    <col min="34" max="34" width="9.28515625" bestFit="1" customWidth="1"/>
  </cols>
  <sheetData>
    <row r="1" spans="1:34" ht="18" x14ac:dyDescent="0.35">
      <c r="A1" s="39" t="s">
        <v>18</v>
      </c>
      <c r="B1" s="40"/>
      <c r="C1" s="41"/>
      <c r="D1" s="14" t="s">
        <v>19</v>
      </c>
      <c r="F1" s="42" t="s">
        <v>20</v>
      </c>
      <c r="G1" s="43"/>
      <c r="H1" s="44"/>
      <c r="K1" s="39" t="s">
        <v>21</v>
      </c>
      <c r="L1" s="40"/>
      <c r="M1" s="41"/>
      <c r="N1" s="14" t="s">
        <v>19</v>
      </c>
      <c r="P1" s="42" t="s">
        <v>22</v>
      </c>
      <c r="Q1" s="43"/>
      <c r="R1" s="44"/>
      <c r="U1" s="36" t="s">
        <v>12</v>
      </c>
      <c r="V1" s="37"/>
      <c r="W1" s="37"/>
      <c r="X1" s="37"/>
      <c r="Y1" s="37"/>
      <c r="Z1" s="38"/>
      <c r="AC1" s="42" t="s">
        <v>12</v>
      </c>
      <c r="AD1" s="43"/>
      <c r="AE1" s="44"/>
    </row>
    <row r="2" spans="1:34" ht="18" x14ac:dyDescent="0.35">
      <c r="A2" s="15" t="s">
        <v>23</v>
      </c>
      <c r="B2" s="5">
        <v>50</v>
      </c>
      <c r="C2" s="16" t="s">
        <v>24</v>
      </c>
      <c r="D2" s="17">
        <v>50</v>
      </c>
      <c r="F2" s="45" t="s">
        <v>25</v>
      </c>
      <c r="G2" s="46"/>
      <c r="H2" s="47"/>
      <c r="K2" s="15" t="s">
        <v>26</v>
      </c>
      <c r="L2" s="5">
        <v>250</v>
      </c>
      <c r="M2" s="16" t="s">
        <v>24</v>
      </c>
      <c r="N2" s="17">
        <v>250</v>
      </c>
      <c r="P2" s="45" t="s">
        <v>48</v>
      </c>
      <c r="Q2" s="46"/>
      <c r="R2" s="47"/>
      <c r="U2" s="3" t="s">
        <v>13</v>
      </c>
      <c r="V2" s="4" t="s">
        <v>0</v>
      </c>
      <c r="W2" s="5" t="s">
        <v>14</v>
      </c>
      <c r="X2" s="6" t="s">
        <v>15</v>
      </c>
      <c r="Y2" s="5" t="s">
        <v>16</v>
      </c>
      <c r="Z2" s="6" t="s">
        <v>17</v>
      </c>
      <c r="AC2" s="48" t="s">
        <v>0</v>
      </c>
      <c r="AD2" s="5" t="s">
        <v>54</v>
      </c>
      <c r="AE2" s="16" t="s">
        <v>55</v>
      </c>
    </row>
    <row r="3" spans="1:34" ht="18" x14ac:dyDescent="0.35">
      <c r="A3" s="15" t="s">
        <v>27</v>
      </c>
      <c r="B3" s="18">
        <v>9.9999999999999995E-8</v>
      </c>
      <c r="C3" s="16" t="s">
        <v>28</v>
      </c>
      <c r="D3" s="17" t="str">
        <f>COMPLEX(0,1/(B3*B8))</f>
        <v>1591549,50872846i</v>
      </c>
      <c r="F3" s="15" t="str">
        <f>D5</f>
        <v>0,05026548i</v>
      </c>
      <c r="G3" s="5">
        <f>B2</f>
        <v>50</v>
      </c>
      <c r="H3" s="16" t="str">
        <f>D4</f>
        <v>3183099,01745691i</v>
      </c>
      <c r="K3" s="15" t="s">
        <v>29</v>
      </c>
      <c r="L3" s="18">
        <v>10000</v>
      </c>
      <c r="M3" s="16" t="s">
        <v>24</v>
      </c>
      <c r="N3" s="17">
        <v>10000</v>
      </c>
      <c r="P3" s="15" t="str">
        <f>N4</f>
        <v>159154,950872846i</v>
      </c>
      <c r="Q3" s="5">
        <f>N3</f>
        <v>10000</v>
      </c>
      <c r="R3" s="16" t="str">
        <f>N5</f>
        <v>79577,4754364228i</v>
      </c>
      <c r="U3" s="7">
        <f>2*PI()*V3</f>
        <v>6.2831853071795862</v>
      </c>
      <c r="V3">
        <v>1</v>
      </c>
      <c r="W3" t="str">
        <f>IMDIV(COMPLEX(0,1/(0.00000005*U3)),IMPRODUCT(IMSUM(IMDIV(IMPRODUCT(COMPLEX(0,1/(0.0000001*U3)),IMSUM(50,COMPLEX(0,1/(0.00000005*U3)),COMPLEX(0,U3*0.008))),IMPRODUCT(COMPLEX(0,U3*0.008),IMSUM(50,COMPLEX(0,1/(0.00000005*U3))))),1),IMSUM(COMPLEX(0,1/(0.00000005*U3)),50)))</f>
        <v>3,15827325794896E-08+4,96100395425974E-13i</v>
      </c>
      <c r="X3" s="8">
        <f>DEGREES(ATAN2(IMREAL(W3),IMAGINARY(W3)))</f>
        <v>8.9999998571374735E-4</v>
      </c>
      <c r="Y3" t="str">
        <f>IMDIV(COMPLEX(0,1/(0.000002*U3)),IMPRODUCT(IMSUM(IMDIV(IMPRODUCT(250,IMSUM(COMPLEX(0,1/(0.000001*U3)),10000,COMPLEX(0,1/(0.000002*U3)))),IMPRODUCT(COMPLEX(0,1/(0.000001*U3)),IMSUM(10000,COMPLEX(0,1/(0.000002*U3))))),1),IMSUM(COMPLEX(0,1/(0.000002*U3)),10000)))</f>
        <v>0,983473814198174+0,12824679045359i</v>
      </c>
      <c r="Z3" s="8">
        <f>DEGREES(ATAN2(IMREAL(Y3),ABS(IMAGINARY(Y3))))</f>
        <v>7.4295518073713653</v>
      </c>
      <c r="AC3" s="23">
        <v>10</v>
      </c>
      <c r="AD3">
        <f>DEGREES(AH3)</f>
        <v>181.36439999999999</v>
      </c>
      <c r="AE3" s="24">
        <f>DEGREES(AI3)</f>
        <v>0</v>
      </c>
      <c r="AH3">
        <f>2*PI()*AC3*50.379/1000</f>
        <v>3.1654059259040035</v>
      </c>
    </row>
    <row r="4" spans="1:34" ht="18.75" thickBot="1" x14ac:dyDescent="0.4">
      <c r="A4" s="15" t="s">
        <v>30</v>
      </c>
      <c r="B4" s="18">
        <v>4.9999999999999998E-8</v>
      </c>
      <c r="C4" s="16" t="s">
        <v>28</v>
      </c>
      <c r="D4" s="17" t="str">
        <f>COMPLEX(0,1/(B4*B8))</f>
        <v>3183099,01745691i</v>
      </c>
      <c r="F4" s="19" t="s">
        <v>31</v>
      </c>
      <c r="G4" s="34" t="str">
        <f>IMSUM(F3:H3)</f>
        <v>50+3183099,06772239i</v>
      </c>
      <c r="H4" s="35"/>
      <c r="K4" s="15" t="s">
        <v>27</v>
      </c>
      <c r="L4" s="18">
        <v>9.9999999999999995E-7</v>
      </c>
      <c r="M4" s="16" t="s">
        <v>28</v>
      </c>
      <c r="N4" s="17" t="str">
        <f>COMPLEX(0,1/(L4*B8))</f>
        <v>159154,950872846i</v>
      </c>
      <c r="P4" s="19" t="s">
        <v>31</v>
      </c>
      <c r="Q4" s="34" t="str">
        <f>IMSUM(P3:R3)</f>
        <v>10000+238732,426309269i</v>
      </c>
      <c r="R4" s="35"/>
      <c r="U4" s="7">
        <f t="shared" ref="U4:U67" si="0">2*PI()*V4</f>
        <v>7.6122527839368335</v>
      </c>
      <c r="V4" s="9">
        <f>V3*10^(1/12)</f>
        <v>1.2115276586285886</v>
      </c>
      <c r="W4" t="str">
        <f t="shared" ref="W4:W67" si="1">IMDIV(COMPLEX(0,1/(0.00000005*U4)),IMPRODUCT(IMSUM(IMDIV(IMPRODUCT(COMPLEX(0,1/(0.0000001*U4)),IMSUM(50,COMPLEX(0,1/(0.00000005*U4)),COMPLEX(0,U4*0.008))),IMPRODUCT(COMPLEX(0,U4*0.008),IMSUM(50,COMPLEX(0,1/(0.00000005*U4))))),1),IMSUM(COMPLEX(0,1/(0.00000005*U4)),50)))</f>
        <v>4,63571107169816E-08+8,82205092328289E-13i</v>
      </c>
      <c r="X4" s="8">
        <f t="shared" ref="X4:X67" si="2">DEGREES(ATAN2(IMREAL(W4),IMAGINARY(W4)))</f>
        <v>1.0903748673607844E-3</v>
      </c>
      <c r="Y4" t="str">
        <f t="shared" ref="Y4:Y67" si="3">IMDIV(COMPLEX(0,1/(0.000002*U4)),IMPRODUCT(IMSUM(IMDIV(IMPRODUCT(250,IMSUM(COMPLEX(0,1/(0.000001*U4)),10000,COMPLEX(0,1/(0.000002*U4)))),IMPRODUCT(COMPLEX(0,1/(0.000001*U4)),IMSUM(10000,COMPLEX(0,1/(0.000002*U4))))),1),IMSUM(COMPLEX(0,1/(0.000002*U4)),10000)))</f>
        <v>0,975926772903016+0,1541964524902i</v>
      </c>
      <c r="Z4" s="8">
        <f t="shared" ref="Z4:Z67" si="4">DEGREES(ATAN2(IMREAL(Y4),ABS(IMAGINARY(Y4))))</f>
        <v>8.9785122322859969</v>
      </c>
      <c r="AC4" s="49">
        <f>AC3*10^(1/3)</f>
        <v>21.544346900318839</v>
      </c>
      <c r="AD4">
        <f t="shared" ref="AD3:AE15" si="5">DEGREES(AG4)</f>
        <v>0</v>
      </c>
      <c r="AE4" s="24">
        <f t="shared" ref="AE4:AE15" si="6">DEGREES(AI4)</f>
        <v>0</v>
      </c>
    </row>
    <row r="5" spans="1:34" ht="18.75" thickBot="1" x14ac:dyDescent="0.4">
      <c r="A5" s="19" t="s">
        <v>32</v>
      </c>
      <c r="B5" s="20">
        <v>8.0000000000000002E-3</v>
      </c>
      <c r="C5" s="21" t="s">
        <v>33</v>
      </c>
      <c r="D5" s="22" t="str">
        <f>COMPLEX(0,B8*B5)</f>
        <v>0,05026548i</v>
      </c>
      <c r="F5" s="23"/>
      <c r="H5" s="24"/>
      <c r="K5" s="19" t="s">
        <v>30</v>
      </c>
      <c r="L5" s="30">
        <v>1.9999999999999999E-6</v>
      </c>
      <c r="M5" s="21" t="s">
        <v>28</v>
      </c>
      <c r="N5" s="22" t="str">
        <f>COMPLEX(0,1/(L5*B8))</f>
        <v>79577,4754364228i</v>
      </c>
      <c r="P5" s="23"/>
      <c r="R5" s="24"/>
      <c r="U5" s="7">
        <f t="shared" si="0"/>
        <v>9.2224547922119466</v>
      </c>
      <c r="V5" s="9">
        <f t="shared" ref="V5:V68" si="7">V4*10^(1/12)</f>
        <v>1.4677992676220699</v>
      </c>
      <c r="W5" t="str">
        <f t="shared" si="1"/>
        <v>6,80429309345826E-08+1,56880708281135E-12i</v>
      </c>
      <c r="X5" s="8">
        <f t="shared" si="2"/>
        <v>1.3210192956827694E-3</v>
      </c>
      <c r="Y5" t="str">
        <f t="shared" si="3"/>
        <v>0,965054196844902+0,184757071912893i</v>
      </c>
      <c r="Z5" s="8">
        <f t="shared" si="4"/>
        <v>10.837983674989102</v>
      </c>
      <c r="AC5" s="49">
        <f t="shared" ref="AC5:AC15" si="8">AC4*10^(1/3)</f>
        <v>46.415888336127793</v>
      </c>
      <c r="AD5">
        <f t="shared" si="5"/>
        <v>0</v>
      </c>
      <c r="AE5" s="24">
        <f t="shared" si="6"/>
        <v>0</v>
      </c>
    </row>
    <row r="6" spans="1:34" ht="18.75" thickBot="1" x14ac:dyDescent="0.4">
      <c r="F6" s="45" t="s">
        <v>34</v>
      </c>
      <c r="G6" s="46"/>
      <c r="H6" s="47"/>
      <c r="K6" s="5"/>
      <c r="L6" s="5"/>
      <c r="M6" s="5"/>
      <c r="N6" s="5"/>
      <c r="P6" s="45" t="s">
        <v>49</v>
      </c>
      <c r="Q6" s="46"/>
      <c r="R6" s="47"/>
      <c r="U6" s="7">
        <f t="shared" si="0"/>
        <v>11.173259061216546</v>
      </c>
      <c r="V6" s="9">
        <f t="shared" si="7"/>
        <v>1.7782794100389234</v>
      </c>
      <c r="W6" t="str">
        <f t="shared" si="1"/>
        <v>9,98733593992855E-08+2,78977715539331E-12i</v>
      </c>
      <c r="X6" s="8">
        <f t="shared" si="2"/>
        <v>1.6004513886975517E-3</v>
      </c>
      <c r="Y6" t="str">
        <f t="shared" si="3"/>
        <v>0,949521962410533+0,220279538939759i</v>
      </c>
      <c r="Z6" s="8">
        <f t="shared" si="4"/>
        <v>13.061003888398297</v>
      </c>
      <c r="AC6" s="49">
        <f t="shared" si="8"/>
        <v>100.00000000000001</v>
      </c>
      <c r="AD6">
        <f t="shared" si="5"/>
        <v>0</v>
      </c>
      <c r="AE6" s="24">
        <f t="shared" si="6"/>
        <v>0</v>
      </c>
    </row>
    <row r="7" spans="1:34" x14ac:dyDescent="0.25">
      <c r="A7" s="31" t="s">
        <v>35</v>
      </c>
      <c r="B7" s="32"/>
      <c r="C7" s="33"/>
      <c r="F7" s="15">
        <f>B2</f>
        <v>50</v>
      </c>
      <c r="G7" s="5" t="str">
        <f>D4</f>
        <v>3183099,01745691i</v>
      </c>
      <c r="H7" s="16"/>
      <c r="P7" s="15">
        <f>N3</f>
        <v>10000</v>
      </c>
      <c r="Q7" s="5" t="str">
        <f>N5</f>
        <v>79577,4754364228i</v>
      </c>
      <c r="R7" s="16"/>
      <c r="U7" s="7">
        <f t="shared" si="0"/>
        <v>13.536712389686343</v>
      </c>
      <c r="V7" s="9">
        <f>V6*10^(1/12)</f>
        <v>2.1544346900318847</v>
      </c>
      <c r="W7" t="str">
        <f t="shared" si="1"/>
        <v>1,46594033454259E-07+4,96100280865918E-12i</v>
      </c>
      <c r="X7" s="8">
        <f t="shared" si="2"/>
        <v>1.9389910781662067E-3</v>
      </c>
      <c r="Y7" t="str">
        <f t="shared" si="3"/>
        <v>0,927597727982968+0,260788879021575i</v>
      </c>
      <c r="Z7" s="8">
        <f t="shared" si="4"/>
        <v>15.703029173413292</v>
      </c>
      <c r="AC7" s="49">
        <f t="shared" si="8"/>
        <v>215.44346900318843</v>
      </c>
      <c r="AD7">
        <f t="shared" si="5"/>
        <v>0</v>
      </c>
      <c r="AE7" s="24">
        <f t="shared" si="6"/>
        <v>0</v>
      </c>
    </row>
    <row r="8" spans="1:34" ht="15.75" thickBot="1" x14ac:dyDescent="0.3">
      <c r="A8" s="19" t="s">
        <v>36</v>
      </c>
      <c r="B8" s="20">
        <f>6.283185</f>
        <v>6.2831849999999996</v>
      </c>
      <c r="C8" s="21" t="s">
        <v>37</v>
      </c>
      <c r="F8" s="19" t="s">
        <v>31</v>
      </c>
      <c r="G8" s="34" t="str">
        <f>IMSUM(F7:G7)</f>
        <v>50+3183099,01745691i</v>
      </c>
      <c r="H8" s="35"/>
      <c r="P8" s="19" t="s">
        <v>31</v>
      </c>
      <c r="Q8" s="34" t="str">
        <f>IMSUM(P7:Q7)</f>
        <v>10000+79577,4754364228i</v>
      </c>
      <c r="R8" s="35"/>
      <c r="U8" s="7">
        <f t="shared" si="0"/>
        <v>16.400101467005303</v>
      </c>
      <c r="V8" s="9">
        <f t="shared" si="7"/>
        <v>2.6101572156825381</v>
      </c>
      <c r="W8" t="str">
        <f t="shared" si="1"/>
        <v>2,1517059269315E-07+8,82204793308553E-12i</v>
      </c>
      <c r="X8" s="8">
        <f t="shared" si="2"/>
        <v>2.3491412400648689E-3</v>
      </c>
      <c r="Y8" t="str">
        <f t="shared" si="3"/>
        <v>0,897169441253537+0,305719786852061i</v>
      </c>
      <c r="Z8" s="8">
        <f t="shared" si="4"/>
        <v>18.81707556963482</v>
      </c>
      <c r="AC8" s="49">
        <f t="shared" si="8"/>
        <v>464.15888336127801</v>
      </c>
      <c r="AD8">
        <f t="shared" si="5"/>
        <v>0</v>
      </c>
      <c r="AE8" s="24">
        <f t="shared" si="6"/>
        <v>0</v>
      </c>
    </row>
    <row r="9" spans="1:34" ht="15.75" thickBot="1" x14ac:dyDescent="0.3">
      <c r="F9" s="23"/>
      <c r="H9" s="24"/>
      <c r="P9" s="23"/>
      <c r="R9" s="24"/>
      <c r="U9" s="7">
        <f t="shared" si="0"/>
        <v>19.869176531592213</v>
      </c>
      <c r="V9" s="9">
        <f t="shared" si="7"/>
        <v>3.1622776601683813</v>
      </c>
      <c r="W9" t="str">
        <f t="shared" si="1"/>
        <v>3,15827190435296E-07+1,56880630232304E-11i</v>
      </c>
      <c r="X9" s="8">
        <f t="shared" si="2"/>
        <v>2.846049442380792E-3</v>
      </c>
      <c r="Y9" t="str">
        <f t="shared" si="3"/>
        <v>0,855914109188599+0,353578838677955i</v>
      </c>
      <c r="Z9" s="8">
        <f t="shared" si="4"/>
        <v>22.445560973230883</v>
      </c>
      <c r="AC9" s="49">
        <f t="shared" si="8"/>
        <v>1000.0000000000003</v>
      </c>
      <c r="AD9">
        <f t="shared" si="5"/>
        <v>0</v>
      </c>
      <c r="AE9" s="24">
        <f t="shared" si="6"/>
        <v>0</v>
      </c>
    </row>
    <row r="10" spans="1:34" ht="18" x14ac:dyDescent="0.35">
      <c r="A10" s="13" t="s">
        <v>1</v>
      </c>
      <c r="B10" s="25">
        <f>IMABS(G36)</f>
        <v>3.1582729495280164E-8</v>
      </c>
      <c r="F10" s="45" t="s">
        <v>38</v>
      </c>
      <c r="G10" s="46"/>
      <c r="H10" s="47"/>
      <c r="P10" s="45" t="s">
        <v>50</v>
      </c>
      <c r="Q10" s="46"/>
      <c r="R10" s="47"/>
      <c r="U10" s="7">
        <f t="shared" si="0"/>
        <v>24.072056922198016</v>
      </c>
      <c r="V10" s="9">
        <f t="shared" si="7"/>
        <v>3.8311868495572905</v>
      </c>
      <c r="W10" t="str">
        <f t="shared" si="1"/>
        <v>4,63570815546466E-07+2,78977511819677E-11i</v>
      </c>
      <c r="X10" s="8">
        <f t="shared" si="2"/>
        <v>3.4480673612271285E-3</v>
      </c>
      <c r="Y10" t="str">
        <f t="shared" si="3"/>
        <v>0,801716902502259+0,401617343244091i</v>
      </c>
      <c r="Z10" s="8">
        <f t="shared" si="4"/>
        <v>26.608422938477435</v>
      </c>
      <c r="AC10" s="49">
        <f t="shared" si="8"/>
        <v>2154.4346900318847</v>
      </c>
      <c r="AD10">
        <f t="shared" si="5"/>
        <v>0</v>
      </c>
      <c r="AE10" s="24">
        <f t="shared" si="6"/>
        <v>0</v>
      </c>
    </row>
    <row r="11" spans="1:34" ht="18.75" thickBot="1" x14ac:dyDescent="0.4">
      <c r="A11" s="26" t="s">
        <v>2</v>
      </c>
      <c r="B11" s="27">
        <f>IMABS(Q36)</f>
        <v>0.99180037509873586</v>
      </c>
      <c r="F11" s="15" t="str">
        <f>D3</f>
        <v>1591549,50872846i</v>
      </c>
      <c r="G11" s="5" t="str">
        <f>G4</f>
        <v>50+3183099,06772239i</v>
      </c>
      <c r="H11" s="16"/>
      <c r="P11" s="15">
        <f>N2</f>
        <v>250</v>
      </c>
      <c r="Q11" s="5" t="str">
        <f>Q4</f>
        <v>10000+238732,426309269i</v>
      </c>
      <c r="R11" s="16"/>
      <c r="U11" s="7">
        <f t="shared" si="0"/>
        <v>29.163962761324669</v>
      </c>
      <c r="V11" s="9">
        <f t="shared" si="7"/>
        <v>4.6415888336127828</v>
      </c>
      <c r="W11" t="str">
        <f t="shared" si="1"/>
        <v>6,80428681062583E-07+4,96099749125854E-11i</v>
      </c>
      <c r="X11" s="8">
        <f t="shared" si="2"/>
        <v>4.1774285216277301E-3</v>
      </c>
      <c r="Y11" t="str">
        <f t="shared" si="3"/>
        <v>0,733395616415617+0,4457114605917i</v>
      </c>
      <c r="Z11" s="8">
        <f t="shared" si="4"/>
        <v>31.288587330085992</v>
      </c>
      <c r="AC11" s="49">
        <f t="shared" si="8"/>
        <v>4641.5888336127809</v>
      </c>
      <c r="AD11">
        <f t="shared" si="5"/>
        <v>0</v>
      </c>
      <c r="AE11" s="24">
        <f t="shared" si="6"/>
        <v>0</v>
      </c>
    </row>
    <row r="12" spans="1:34" ht="15.75" thickBot="1" x14ac:dyDescent="0.3">
      <c r="D12" s="18"/>
      <c r="F12" s="19" t="s">
        <v>31</v>
      </c>
      <c r="G12" s="34" t="str">
        <f>IMPRODUCT(F11:G11)</f>
        <v>-5066059757467,59+79577475,436423i</v>
      </c>
      <c r="H12" s="35"/>
      <c r="P12" s="19" t="s">
        <v>31</v>
      </c>
      <c r="Q12" s="34" t="str">
        <f>IMPRODUCT(P11:Q11)</f>
        <v>2500000+59683106,5773173i</v>
      </c>
      <c r="R12" s="35"/>
      <c r="U12" s="7">
        <f t="shared" si="0"/>
        <v>35.332947520559024</v>
      </c>
      <c r="V12" s="9">
        <f t="shared" si="7"/>
        <v>5.6234132519034965</v>
      </c>
      <c r="W12" t="str">
        <f t="shared" si="1"/>
        <v>9,98732240398357E-07+8,82203405384424E-11i</v>
      </c>
      <c r="X12" s="8">
        <f t="shared" si="2"/>
        <v>5.0610693862221208E-3</v>
      </c>
      <c r="Y12" t="str">
        <f t="shared" si="3"/>
        <v>0,65161188311982+0,480735689221937i</v>
      </c>
      <c r="Z12" s="8">
        <f t="shared" si="4"/>
        <v>36.418564914457249</v>
      </c>
      <c r="AC12" s="49">
        <f t="shared" si="8"/>
        <v>10000.000000000005</v>
      </c>
      <c r="AD12">
        <f t="shared" si="5"/>
        <v>0</v>
      </c>
      <c r="AE12" s="24">
        <f t="shared" si="6"/>
        <v>0</v>
      </c>
    </row>
    <row r="13" spans="1:34" ht="18.75" thickBot="1" x14ac:dyDescent="0.4">
      <c r="A13" s="28" t="s">
        <v>39</v>
      </c>
      <c r="B13" s="29">
        <f>B10-B11</f>
        <v>-0.99180034351600632</v>
      </c>
      <c r="F13" s="23"/>
      <c r="H13" s="24"/>
      <c r="P13" s="23"/>
      <c r="R13" s="24"/>
      <c r="U13" s="7">
        <f t="shared" si="0"/>
        <v>42.806843182029667</v>
      </c>
      <c r="V13" s="9">
        <f t="shared" si="7"/>
        <v>6.8129206905796202</v>
      </c>
      <c r="W13" t="str">
        <f t="shared" si="1"/>
        <v>1,46593741831391E-06+1,56880267962668E-10i</v>
      </c>
      <c r="X13" s="8">
        <f t="shared" si="2"/>
        <v>6.1316241038218682E-3</v>
      </c>
      <c r="Y13" t="str">
        <f t="shared" si="3"/>
        <v>0,559563510919014+0,501623751420844i</v>
      </c>
      <c r="Z13" s="8">
        <f t="shared" si="4"/>
        <v>41.874810925505336</v>
      </c>
      <c r="AC13" s="49">
        <f t="shared" si="8"/>
        <v>21544.346900318851</v>
      </c>
      <c r="AD13">
        <f t="shared" si="5"/>
        <v>0</v>
      </c>
      <c r="AE13" s="24">
        <f t="shared" si="6"/>
        <v>0</v>
      </c>
    </row>
    <row r="14" spans="1:34" ht="18" x14ac:dyDescent="0.35">
      <c r="F14" s="45" t="s">
        <v>40</v>
      </c>
      <c r="G14" s="46"/>
      <c r="H14" s="47"/>
      <c r="P14" s="45" t="s">
        <v>51</v>
      </c>
      <c r="Q14" s="46"/>
      <c r="R14" s="47"/>
      <c r="U14" s="7">
        <f t="shared" si="0"/>
        <v>51.861674493605562</v>
      </c>
      <c r="V14" s="9">
        <f t="shared" si="7"/>
        <v>8.254041852680194</v>
      </c>
      <c r="W14" t="str">
        <f t="shared" si="1"/>
        <v>2,15169964411443E-06+2,78976566240457E-10i</v>
      </c>
      <c r="X14" s="8">
        <f t="shared" si="2"/>
        <v>7.4286296336880222E-3</v>
      </c>
      <c r="Y14" t="str">
        <f t="shared" si="3"/>
        <v>0,462878728544271+0,504907650562505i</v>
      </c>
      <c r="Z14" s="8">
        <f t="shared" si="4"/>
        <v>47.486672417540476</v>
      </c>
      <c r="AC14" s="49">
        <f t="shared" si="8"/>
        <v>46415.88833612782</v>
      </c>
      <c r="AD14">
        <f t="shared" si="5"/>
        <v>0</v>
      </c>
      <c r="AE14" s="24">
        <f t="shared" si="6"/>
        <v>0</v>
      </c>
    </row>
    <row r="15" spans="1:34" ht="15.75" thickBot="1" x14ac:dyDescent="0.3">
      <c r="F15" s="15" t="str">
        <f>D5</f>
        <v>0,05026548i</v>
      </c>
      <c r="G15" s="5" t="str">
        <f>G8</f>
        <v>50+3183099,01745691i</v>
      </c>
      <c r="H15" s="16"/>
      <c r="P15" s="15" t="str">
        <f>N4</f>
        <v>159154,950872846i</v>
      </c>
      <c r="Q15" s="5" t="str">
        <f>Q8</f>
        <v>10000+79577,4754364228i</v>
      </c>
      <c r="R15" s="16"/>
      <c r="U15" s="7">
        <f t="shared" si="0"/>
        <v>62.83185307179594</v>
      </c>
      <c r="V15" s="9">
        <f t="shared" si="7"/>
        <v>10.000000000000012</v>
      </c>
      <c r="W15" t="str">
        <f t="shared" si="1"/>
        <v>3,15825836845645E-06+4,96097281021114E-10i</v>
      </c>
      <c r="X15" s="8">
        <f t="shared" si="2"/>
        <v>8.9999857138153387E-3</v>
      </c>
      <c r="Y15" t="str">
        <f t="shared" si="3"/>
        <v>0,368421609975139+0,490006040220719i</v>
      </c>
      <c r="Z15" s="8">
        <f t="shared" si="4"/>
        <v>53.061534884478398</v>
      </c>
      <c r="AC15" s="50">
        <f t="shared" si="8"/>
        <v>100000.00000000007</v>
      </c>
      <c r="AD15" s="51">
        <f t="shared" si="5"/>
        <v>0</v>
      </c>
      <c r="AE15" s="24">
        <f t="shared" si="6"/>
        <v>0</v>
      </c>
    </row>
    <row r="16" spans="1:34" ht="15.75" thickBot="1" x14ac:dyDescent="0.3">
      <c r="F16" s="19" t="s">
        <v>31</v>
      </c>
      <c r="G16" s="34" t="str">
        <f>IMPRODUCT(F15:G15)</f>
        <v>-160000+2,513274i</v>
      </c>
      <c r="H16" s="35"/>
      <c r="P16" s="19" t="s">
        <v>31</v>
      </c>
      <c r="Q16" s="34" t="str">
        <f>IMPRODUCT(P15:Q15)</f>
        <v>-12665149193,669+1591549508,72846i</v>
      </c>
      <c r="R16" s="35"/>
      <c r="U16" s="7">
        <f t="shared" si="0"/>
        <v>76.122527839368431</v>
      </c>
      <c r="V16" s="9">
        <f t="shared" si="7"/>
        <v>12.115276586285901</v>
      </c>
      <c r="W16" t="str">
        <f t="shared" si="1"/>
        <v>4,63567899333098E-06+8,82196963264754E-10i</v>
      </c>
      <c r="X16" s="8">
        <f t="shared" si="2"/>
        <v>1.0903723522885538E-2</v>
      </c>
      <c r="Y16" t="str">
        <f t="shared" si="3"/>
        <v>0,282451978521052+0,459456823620644i</v>
      </c>
      <c r="Z16" s="8">
        <f t="shared" si="4"/>
        <v>58.418797389250017</v>
      </c>
    </row>
    <row r="17" spans="1:26" x14ac:dyDescent="0.25">
      <c r="F17" s="23"/>
      <c r="H17" s="24"/>
      <c r="P17" s="23"/>
      <c r="R17" s="24"/>
      <c r="U17" s="7">
        <f t="shared" si="0"/>
        <v>92.224547922119584</v>
      </c>
      <c r="V17" s="9">
        <f t="shared" si="7"/>
        <v>14.677992676220718</v>
      </c>
      <c r="W17" t="str">
        <f t="shared" si="1"/>
        <v>0,0000068042239829391+1,56878586476486E-09i</v>
      </c>
      <c r="X17" s="8">
        <f t="shared" si="2"/>
        <v>1.3210148231963011E-2</v>
      </c>
      <c r="Y17" t="str">
        <f t="shared" si="3"/>
        <v>0,209107916280824+0,417934766561847i</v>
      </c>
      <c r="Z17" s="8">
        <f t="shared" si="4"/>
        <v>63.41953806437018</v>
      </c>
    </row>
    <row r="18" spans="1:26" x14ac:dyDescent="0.25">
      <c r="F18" s="45" t="s">
        <v>41</v>
      </c>
      <c r="G18" s="46"/>
      <c r="H18" s="47"/>
      <c r="P18" s="45" t="s">
        <v>41</v>
      </c>
      <c r="Q18" s="46"/>
      <c r="R18" s="47"/>
      <c r="U18" s="7">
        <f t="shared" si="0"/>
        <v>111.73259061216561</v>
      </c>
      <c r="V18" s="9">
        <f t="shared" si="7"/>
        <v>17.782794100389257</v>
      </c>
      <c r="W18" t="str">
        <f t="shared" si="1"/>
        <v>9,98718704654906E-06+2,78972177329074E-09i</v>
      </c>
      <c r="X18" s="8">
        <f t="shared" si="2"/>
        <v>1.6004434354052948E-2</v>
      </c>
      <c r="Y18" t="str">
        <f t="shared" si="3"/>
        <v>0,149910223063942+0,370698887849261i</v>
      </c>
      <c r="Z18" s="8">
        <f t="shared" si="4"/>
        <v>67.981646062134971</v>
      </c>
    </row>
    <row r="19" spans="1:26" x14ac:dyDescent="0.25">
      <c r="A19" t="str">
        <f>IMDIV(COMPLEX(0,1/(0.00000005*B8)),IMPRODUCT(IMSUM(IMDIV(IMPRODUCT(COMPLEX(0,1/(0.0000001*B8)),IMSUM(50,COMPLEX(0,1/(0.00000005*B8)),COMPLEX(0,B8*0.008))),IMPRODUCT(COMPLEX(0,B8*0.008),IMSUM(50,COMPLEX(0,1/(0.00000005*B8))))),1),IMSUM(COMPLEX(0,1/(0.00000005*B8)),50)))</f>
        <v>3,15827294913838E-08+4,96100322664198E-13i</v>
      </c>
      <c r="F19" s="15" t="str">
        <f>G12</f>
        <v>-5066059757467,59+79577475,436423i</v>
      </c>
      <c r="G19" s="5"/>
      <c r="H19" s="16" t="str">
        <f>G16</f>
        <v>-160000+2,513274i</v>
      </c>
      <c r="P19" s="15" t="str">
        <f>Q12</f>
        <v>2500000+59683106,5773173i</v>
      </c>
      <c r="Q19" s="5"/>
      <c r="R19" s="16" t="str">
        <f>Q16</f>
        <v>-12665149193,669+1591549508,72846i</v>
      </c>
      <c r="U19" s="7">
        <f t="shared" si="0"/>
        <v>135.3671238968636</v>
      </c>
      <c r="V19" s="9">
        <f t="shared" si="7"/>
        <v>21.544346900318875</v>
      </c>
      <c r="W19" t="str">
        <f t="shared" si="1"/>
        <v>0,0000146590825666424+4,96085825394654E-09i</v>
      </c>
      <c r="X19" s="8">
        <f t="shared" si="2"/>
        <v>1.9389769350904681E-2</v>
      </c>
      <c r="Y19" t="str">
        <f t="shared" si="3"/>
        <v>0,104232947993367+0,322306732470629i</v>
      </c>
      <c r="Z19" s="8">
        <f t="shared" si="4"/>
        <v>72.078961536543446</v>
      </c>
    </row>
    <row r="20" spans="1:26" ht="15.75" thickBot="1" x14ac:dyDescent="0.3">
      <c r="F20" s="19" t="s">
        <v>42</v>
      </c>
      <c r="G20" s="20" t="str">
        <f>IMDIV(F19,H19)</f>
        <v>31662873,4841724+7,85398119866774E-06i</v>
      </c>
      <c r="H20" s="21"/>
      <c r="P20" s="19" t="s">
        <v>42</v>
      </c>
      <c r="Q20" s="20" t="str">
        <f>IMDIV(P19,R19)</f>
        <v>0,000388646872627061-0,00466354994599225i</v>
      </c>
      <c r="R20" s="21"/>
      <c r="U20" s="7">
        <f t="shared" si="0"/>
        <v>164.00101467005322</v>
      </c>
      <c r="V20" s="9">
        <f t="shared" si="7"/>
        <v>26.101572156825416</v>
      </c>
      <c r="W20" t="str">
        <f t="shared" si="1"/>
        <v>0,0000215163681795812+8,82167062747091E-09i</v>
      </c>
      <c r="X20" s="8">
        <f t="shared" si="2"/>
        <v>2.349116089985814E-2</v>
      </c>
      <c r="Y20" t="str">
        <f t="shared" si="3"/>
        <v>0,0701979886751538+0,276002510310779i</v>
      </c>
      <c r="Z20" s="8">
        <f t="shared" si="4"/>
        <v>75.73005567077675</v>
      </c>
    </row>
    <row r="21" spans="1:26" x14ac:dyDescent="0.25">
      <c r="F21" s="23"/>
      <c r="H21" s="24"/>
      <c r="P21" s="23"/>
      <c r="R21" s="24"/>
      <c r="U21" s="7">
        <f t="shared" si="0"/>
        <v>198.69176531592242</v>
      </c>
      <c r="V21" s="9">
        <f t="shared" si="7"/>
        <v>31.622776601683857</v>
      </c>
      <c r="W21" t="str">
        <f t="shared" si="1"/>
        <v>0,0000315812301586153+1,56870782150727E-08i</v>
      </c>
      <c r="X21" s="8">
        <f t="shared" si="2"/>
        <v>2.8460047191949601E-2</v>
      </c>
      <c r="Y21" t="str">
        <f t="shared" si="3"/>
        <v>0,0454938842533515+0,233693994039094i</v>
      </c>
      <c r="Z21" s="8">
        <f t="shared" si="4"/>
        <v>78.983847791657709</v>
      </c>
    </row>
    <row r="22" spans="1:26" x14ac:dyDescent="0.25">
      <c r="A22" t="str">
        <f>IMDIV(COMPLEX(0,1/(0.000002*B8)),IMPRODUCT(IMSUM(IMDIV(IMPRODUCT(250,IMSUM(COMPLEX(0,1/(0.000001*B8)),10000,COMPLEX(0,1/(0.000002*B8)))),IMPRODUCT(COMPLEX(0,1/(0.000001*B8)),IMSUM(10000,COMPLEX(0,1/(0.000002*B8))))),1),IMSUM(COMPLEX(0,1/(0.000002*B8)),10000)))</f>
        <v>0,98347381578769+0,128246784388514i</v>
      </c>
      <c r="F22" s="45" t="s">
        <v>43</v>
      </c>
      <c r="G22" s="46"/>
      <c r="H22" s="47"/>
      <c r="P22" s="45" t="s">
        <v>43</v>
      </c>
      <c r="Q22" s="46"/>
      <c r="R22" s="47"/>
      <c r="U22" s="7">
        <f t="shared" si="0"/>
        <v>240.7205692219805</v>
      </c>
      <c r="V22" s="9">
        <f t="shared" si="7"/>
        <v>38.311868495572959</v>
      </c>
      <c r="W22" t="str">
        <f t="shared" si="1"/>
        <v>0,0000463538739213823+2,78951807499329E-08i</v>
      </c>
      <c r="X22" s="8">
        <f t="shared" si="2"/>
        <v>3.4479878326866824E-2</v>
      </c>
      <c r="Y22" t="str">
        <f t="shared" si="3"/>
        <v>0,0279039585200212+0,196234267547405i</v>
      </c>
      <c r="Z22" s="8">
        <f t="shared" si="4"/>
        <v>81.906958159803096</v>
      </c>
    </row>
    <row r="23" spans="1:26" x14ac:dyDescent="0.25">
      <c r="F23" s="15" t="str">
        <f>G20</f>
        <v>31662873,4841724+7,85398119866774E-06i</v>
      </c>
      <c r="G23" s="5"/>
      <c r="H23" s="16">
        <f>1</f>
        <v>1</v>
      </c>
      <c r="P23" s="15" t="str">
        <f>Q20</f>
        <v>0,000388646872627061-0,00466354994599225i</v>
      </c>
      <c r="Q23" s="5"/>
      <c r="R23" s="16">
        <f>1</f>
        <v>1</v>
      </c>
      <c r="U23" s="7">
        <f t="shared" si="0"/>
        <v>291.63962761324711</v>
      </c>
      <c r="V23" s="9">
        <f t="shared" si="7"/>
        <v>46.415888336127892</v>
      </c>
      <c r="W23" t="str">
        <f t="shared" si="1"/>
        <v>0,0000680359576976907+4,96032659570098E-08i</v>
      </c>
      <c r="X23" s="8">
        <f t="shared" si="2"/>
        <v>4.1772871023077349E-2</v>
      </c>
      <c r="Y23" t="str">
        <f t="shared" si="3"/>
        <v>0,015553785606161+0,163770486600859i</v>
      </c>
      <c r="Z23" s="8">
        <f t="shared" si="4"/>
        <v>84.574716777524657</v>
      </c>
    </row>
    <row r="24" spans="1:26" ht="15.75" thickBot="1" x14ac:dyDescent="0.3">
      <c r="F24" s="19" t="s">
        <v>31</v>
      </c>
      <c r="G24" s="34" t="str">
        <f>IMSUM(F23,H23)</f>
        <v>31662874,4841724+7,85398119866774E-06i</v>
      </c>
      <c r="H24" s="35"/>
      <c r="P24" s="19" t="s">
        <v>31</v>
      </c>
      <c r="Q24" s="34" t="str">
        <f>IMSUM(P23,R23)</f>
        <v>1,00038864687263-0,00466354994599225i</v>
      </c>
      <c r="R24" s="35"/>
      <c r="U24" s="7">
        <f t="shared" si="0"/>
        <v>353.32947520559071</v>
      </c>
      <c r="V24" s="9">
        <f t="shared" si="7"/>
        <v>56.234132519035036</v>
      </c>
      <c r="W24" t="str">
        <f t="shared" si="1"/>
        <v>0,0000998583367362331+8,8202830167503E-08i</v>
      </c>
      <c r="X24" s="8">
        <f t="shared" si="2"/>
        <v>5.0608179152828503E-2</v>
      </c>
      <c r="Y24" t="str">
        <f t="shared" si="3"/>
        <v>0,00697286753799817+0,136038719756414i</v>
      </c>
      <c r="Z24" s="8">
        <f t="shared" si="4"/>
        <v>87.065787158738729</v>
      </c>
    </row>
    <row r="25" spans="1:26" x14ac:dyDescent="0.25">
      <c r="F25" s="23"/>
      <c r="H25" s="24"/>
      <c r="P25" s="23"/>
      <c r="R25" s="24"/>
      <c r="U25" s="7">
        <f t="shared" si="0"/>
        <v>428.06843182029729</v>
      </c>
      <c r="V25" s="9">
        <f t="shared" si="7"/>
        <v>68.129206905796295</v>
      </c>
      <c r="W25" t="str">
        <f t="shared" si="1"/>
        <v>0,000146561670385708+1,56834567193924E-07i</v>
      </c>
      <c r="X25" s="8">
        <f t="shared" si="2"/>
        <v>6.1311769498746331E-2</v>
      </c>
      <c r="Y25" t="str">
        <f t="shared" si="3"/>
        <v>0,00106188100386602+0,11257191537383i</v>
      </c>
      <c r="Z25" s="8">
        <f t="shared" si="4"/>
        <v>89.459549966691569</v>
      </c>
    </row>
    <row r="26" spans="1:26" ht="18" x14ac:dyDescent="0.35">
      <c r="F26" s="45" t="s">
        <v>44</v>
      </c>
      <c r="G26" s="46"/>
      <c r="H26" s="47"/>
      <c r="P26" s="45" t="s">
        <v>52</v>
      </c>
      <c r="Q26" s="46"/>
      <c r="R26" s="47"/>
      <c r="U26" s="7">
        <f t="shared" si="0"/>
        <v>518.61674493605642</v>
      </c>
      <c r="V26" s="9">
        <f t="shared" si="7"/>
        <v>82.540418526802057</v>
      </c>
      <c r="W26" t="str">
        <f t="shared" si="1"/>
        <v>0,000215100875777585+2,78857295571085E-07i</v>
      </c>
      <c r="X26" s="8">
        <f t="shared" si="2"/>
        <v>7.4278345516176375E-2</v>
      </c>
      <c r="Y26" t="str">
        <f t="shared" si="3"/>
        <v>-0,00297449524638342+0,0928302882151488i</v>
      </c>
      <c r="Z26" s="8">
        <f t="shared" si="4"/>
        <v>91.835260204719418</v>
      </c>
    </row>
    <row r="27" spans="1:26" x14ac:dyDescent="0.25">
      <c r="F27" s="15" t="str">
        <f>D4</f>
        <v>3183099,01745691i</v>
      </c>
      <c r="G27" s="5">
        <f>B2</f>
        <v>50</v>
      </c>
      <c r="H27" s="16"/>
      <c r="P27" s="15">
        <f>N3</f>
        <v>10000</v>
      </c>
      <c r="Q27" s="5" t="str">
        <f>N5</f>
        <v>79577,4754364228i</v>
      </c>
      <c r="R27" s="16"/>
      <c r="U27" s="7">
        <f t="shared" si="0"/>
        <v>628.31853071796036</v>
      </c>
      <c r="V27" s="9">
        <f t="shared" si="7"/>
        <v>100.00000000000027</v>
      </c>
      <c r="W27" t="str">
        <f t="shared" si="1"/>
        <v>0,000315677012662827+4,95786025272119E-07i</v>
      </c>
      <c r="X27" s="8">
        <f t="shared" si="2"/>
        <v>8.9985720512512579E-2</v>
      </c>
      <c r="Y27" t="str">
        <f t="shared" si="3"/>
        <v>-0,00569785004671139+0,0762755429913373i</v>
      </c>
      <c r="Z27" s="8">
        <f t="shared" si="4"/>
        <v>94.272110396830698</v>
      </c>
    </row>
    <row r="28" spans="1:26" ht="15.75" thickBot="1" x14ac:dyDescent="0.3">
      <c r="F28" s="19" t="s">
        <v>31</v>
      </c>
      <c r="G28" s="34" t="str">
        <f>G8</f>
        <v>50+3183099,01745691i</v>
      </c>
      <c r="H28" s="35"/>
      <c r="P28" s="19" t="s">
        <v>31</v>
      </c>
      <c r="Q28" s="34" t="str">
        <f>Q8</f>
        <v>10000+79577,4754364228i</v>
      </c>
      <c r="R28" s="35"/>
      <c r="U28" s="7">
        <f t="shared" si="0"/>
        <v>761.22527839368536</v>
      </c>
      <c r="V28" s="9">
        <f t="shared" si="7"/>
        <v>121.15276586285918</v>
      </c>
      <c r="W28" t="str">
        <f t="shared" si="1"/>
        <v>0,000463247339318478+8,81384764484884E-07i</v>
      </c>
      <c r="X28" s="8">
        <f t="shared" si="2"/>
        <v>0.10901210198162614</v>
      </c>
      <c r="Y28" t="str">
        <f t="shared" si="3"/>
        <v>-0,00749646453026203+0,062409010222186i</v>
      </c>
      <c r="Z28" s="8">
        <f t="shared" si="4"/>
        <v>96.849455478369023</v>
      </c>
    </row>
    <row r="29" spans="1:26" x14ac:dyDescent="0.25">
      <c r="F29" s="23"/>
      <c r="H29" s="24"/>
      <c r="P29" s="23"/>
      <c r="R29" s="24"/>
      <c r="U29" s="7">
        <f t="shared" si="0"/>
        <v>922.24547922119712</v>
      </c>
      <c r="V29" s="9">
        <f t="shared" si="7"/>
        <v>146.77992676220737</v>
      </c>
      <c r="W29" t="str">
        <f t="shared" si="1"/>
        <v>0,000679732000134719+0,0000015666667698911i</v>
      </c>
      <c r="X29" s="8">
        <f t="shared" si="2"/>
        <v>0.13205680305265349</v>
      </c>
      <c r="Y29" t="str">
        <f t="shared" si="3"/>
        <v>-0,00863263566978269+0,0507885981649261i</v>
      </c>
      <c r="Z29" s="8">
        <f t="shared" si="4"/>
        <v>99.646481771264064</v>
      </c>
    </row>
    <row r="30" spans="1:26" x14ac:dyDescent="0.25">
      <c r="F30" s="45" t="s">
        <v>45</v>
      </c>
      <c r="G30" s="46"/>
      <c r="H30" s="47"/>
      <c r="P30" s="45" t="s">
        <v>45</v>
      </c>
      <c r="Q30" s="46"/>
      <c r="R30" s="47"/>
      <c r="U30" s="7">
        <f t="shared" si="0"/>
        <v>1117.3259061216575</v>
      </c>
      <c r="V30" s="9">
        <f t="shared" si="7"/>
        <v>177.82794100389279</v>
      </c>
      <c r="W30" t="str">
        <f t="shared" si="1"/>
        <v>0,000997232005612653+0,0000027841939386812i</v>
      </c>
      <c r="X30" s="8">
        <f t="shared" si="2"/>
        <v>0.15996492957786312</v>
      </c>
      <c r="Y30" t="str">
        <f t="shared" si="3"/>
        <v>-0,00927801029793808+0,0410344565528205i</v>
      </c>
      <c r="Z30" s="8">
        <f t="shared" si="4"/>
        <v>102.74051675257199</v>
      </c>
    </row>
    <row r="31" spans="1:26" x14ac:dyDescent="0.25">
      <c r="F31" s="15" t="str">
        <f>G24</f>
        <v>31662874,4841724+7,85398119866774E-06i</v>
      </c>
      <c r="G31" s="5"/>
      <c r="H31" s="16" t="str">
        <f>G28</f>
        <v>50+3183099,01745691i</v>
      </c>
      <c r="P31" s="15" t="str">
        <f>Q24</f>
        <v>1,00038864687263-0,00466354994599225i</v>
      </c>
      <c r="Q31" s="5"/>
      <c r="R31" s="16" t="str">
        <f>Q28</f>
        <v>10000+79577,4754364228i</v>
      </c>
      <c r="U31" s="7">
        <f t="shared" si="0"/>
        <v>1353.6712389686379</v>
      </c>
      <c r="V31" s="9">
        <f t="shared" si="7"/>
        <v>215.44346900318902</v>
      </c>
      <c r="W31" t="str">
        <f t="shared" si="1"/>
        <v>0,00146270753072569+0,0000049464424999556i</v>
      </c>
      <c r="X31" s="8">
        <f t="shared" si="2"/>
        <v>0.19375657303576418</v>
      </c>
      <c r="Y31" t="str">
        <f t="shared" si="3"/>
        <v>-0,00953972007023592+0,032829439897724i</v>
      </c>
      <c r="Z31" s="8">
        <f t="shared" si="4"/>
        <v>106.20303544720161</v>
      </c>
    </row>
    <row r="32" spans="1:26" ht="15.75" thickBot="1" x14ac:dyDescent="0.3">
      <c r="F32" s="19" t="s">
        <v>31</v>
      </c>
      <c r="G32" s="34" t="str">
        <f>IMPRODUCT(F31,H31)</f>
        <v>1583143699,20862+100786064660431i</v>
      </c>
      <c r="H32" s="35"/>
      <c r="P32" s="19" t="s">
        <v>31</v>
      </c>
      <c r="Q32" s="34" t="str">
        <f>IMPRODUCT(P31,R31)</f>
        <v>10375+79561,767473923i</v>
      </c>
      <c r="R32" s="35"/>
      <c r="U32" s="7">
        <f t="shared" si="0"/>
        <v>1640.0101467005345</v>
      </c>
      <c r="V32" s="9">
        <f t="shared" si="7"/>
        <v>261.01572156825449</v>
      </c>
      <c r="W32" t="str">
        <f t="shared" si="1"/>
        <v>0,00214474822907042+8,78409204078084E-06i</v>
      </c>
      <c r="X32" s="8">
        <f t="shared" si="2"/>
        <v>0.23466091725770433</v>
      </c>
      <c r="Y32" t="str">
        <f t="shared" si="3"/>
        <v>-0,00948061836497636+0,0259176675917375i</v>
      </c>
      <c r="Z32" s="8">
        <f t="shared" si="4"/>
        <v>110.09239402142258</v>
      </c>
    </row>
    <row r="33" spans="6:26" x14ac:dyDescent="0.25">
      <c r="F33" s="23"/>
      <c r="H33" s="24"/>
      <c r="P33" s="23"/>
      <c r="R33" s="24"/>
      <c r="U33" s="7">
        <f t="shared" si="0"/>
        <v>1986.9176531592263</v>
      </c>
      <c r="V33" s="9">
        <f t="shared" si="7"/>
        <v>316.22776601683893</v>
      </c>
      <c r="W33" t="str">
        <f t="shared" si="1"/>
        <v>0,00314330460472795+0,0000155891785807325i</v>
      </c>
      <c r="X33" s="8">
        <f t="shared" si="2"/>
        <v>0.28415534859804259</v>
      </c>
      <c r="Y33" t="str">
        <f t="shared" si="3"/>
        <v>-0,00913684080272428+0,0201021623906953i</v>
      </c>
      <c r="Z33" s="8">
        <f t="shared" si="4"/>
        <v>114.44276012542295</v>
      </c>
    </row>
    <row r="34" spans="6:26" ht="18" x14ac:dyDescent="0.35">
      <c r="F34" s="45" t="s">
        <v>46</v>
      </c>
      <c r="G34" s="46"/>
      <c r="H34" s="47"/>
      <c r="P34" s="45" t="s">
        <v>46</v>
      </c>
      <c r="Q34" s="46"/>
      <c r="R34" s="47"/>
      <c r="U34" s="7">
        <f t="shared" si="0"/>
        <v>2407.2056922198076</v>
      </c>
      <c r="V34" s="9">
        <f t="shared" si="7"/>
        <v>383.11868495573003</v>
      </c>
      <c r="W34" t="str">
        <f t="shared" si="1"/>
        <v>0,00460353330683411+0,0000276403582123045i</v>
      </c>
      <c r="X34" s="8">
        <f t="shared" si="2"/>
        <v>0.34400898921985223</v>
      </c>
      <c r="Y34" t="str">
        <f t="shared" si="3"/>
        <v>-0,00853503837240565+0,0152403411601446i</v>
      </c>
      <c r="Z34" s="8">
        <f t="shared" si="4"/>
        <v>119.25010654394045</v>
      </c>
    </row>
    <row r="35" spans="6:26" x14ac:dyDescent="0.25">
      <c r="F35" s="23" t="str">
        <f>D4</f>
        <v>3183099,01745691i</v>
      </c>
      <c r="G35" s="46" t="str">
        <f>G32</f>
        <v>1583143699,20862+100786064660431i</v>
      </c>
      <c r="H35" s="47"/>
      <c r="P35" s="23" t="str">
        <f>N5</f>
        <v>79577,4754364228i</v>
      </c>
      <c r="Q35" s="46" t="str">
        <f>Q32</f>
        <v>10375+79561,767473923i</v>
      </c>
      <c r="R35" s="47"/>
      <c r="U35" s="7">
        <f t="shared" si="0"/>
        <v>2916.3962761324747</v>
      </c>
      <c r="V35" s="9">
        <f t="shared" si="7"/>
        <v>464.15888336127949</v>
      </c>
      <c r="W35" t="str">
        <f t="shared" si="1"/>
        <v>0,0067351921966761+0,0000489408449448317i</v>
      </c>
      <c r="X35" s="8">
        <f t="shared" si="2"/>
        <v>0.41632880362905333</v>
      </c>
      <c r="Y35" t="str">
        <f t="shared" si="3"/>
        <v>-0,0077093277974057+0,0112344626145187i</v>
      </c>
      <c r="Z35" s="8">
        <f t="shared" si="4"/>
        <v>124.45874453969897</v>
      </c>
    </row>
    <row r="36" spans="6:26" ht="15" customHeight="1" thickBot="1" x14ac:dyDescent="0.4">
      <c r="F36" s="19" t="s">
        <v>47</v>
      </c>
      <c r="G36" s="34" t="str">
        <f>IMDIV(F35,G35)</f>
        <v>3,15827294913838E-08+4,96100322664198E-13i</v>
      </c>
      <c r="H36" s="35"/>
      <c r="P36" s="19" t="s">
        <v>53</v>
      </c>
      <c r="Q36" s="34" t="str">
        <f>IMDIV(P35,Q35)</f>
        <v>0,98347381578769+0,128246784388514i</v>
      </c>
      <c r="R36" s="35"/>
      <c r="U36" s="7">
        <f t="shared" si="0"/>
        <v>3533.2947520559119</v>
      </c>
      <c r="V36" s="9">
        <f t="shared" si="7"/>
        <v>562.34132519035109</v>
      </c>
      <c r="W36" t="str">
        <f t="shared" si="1"/>
        <v>0,00983916528414112+0,0000864840754427917i</v>
      </c>
      <c r="X36" s="8">
        <f t="shared" si="2"/>
        <v>0.5036041948943164</v>
      </c>
      <c r="Y36" t="str">
        <f t="shared" si="3"/>
        <v>-0,00671432194973548+0,00801464415952163i</v>
      </c>
      <c r="Z36" s="8">
        <f t="shared" si="4"/>
        <v>129.95481781901174</v>
      </c>
    </row>
    <row r="37" spans="6:26" x14ac:dyDescent="0.25">
      <c r="U37" s="7">
        <f t="shared" si="0"/>
        <v>4280.6843182029779</v>
      </c>
      <c r="V37" s="9">
        <f t="shared" si="7"/>
        <v>681.29206905796377</v>
      </c>
      <c r="W37" t="str">
        <f t="shared" si="1"/>
        <v>0,0143423757985966+0,000152387142673848i</v>
      </c>
      <c r="X37" s="8">
        <f t="shared" si="2"/>
        <v>0.608742353435063</v>
      </c>
      <c r="Y37" t="str">
        <f t="shared" si="3"/>
        <v>-0,00562796758328819+0,00551636055471732i</v>
      </c>
      <c r="Z37" s="8">
        <f t="shared" si="4"/>
        <v>135.57378047866277</v>
      </c>
    </row>
    <row r="38" spans="6:26" x14ac:dyDescent="0.25">
      <c r="U38" s="7">
        <f t="shared" si="0"/>
        <v>5186.1674493605697</v>
      </c>
      <c r="V38" s="9">
        <f t="shared" si="7"/>
        <v>825.40418526802148</v>
      </c>
      <c r="W38" t="str">
        <f t="shared" si="1"/>
        <v>0,0208408731010765+0,000267394467846708i</v>
      </c>
      <c r="X38" s="8">
        <f t="shared" si="2"/>
        <v>0.73508119400955263</v>
      </c>
      <c r="Y38" t="str">
        <f t="shared" si="3"/>
        <v>-0,00454051590630123+0,0036605658627711i</v>
      </c>
      <c r="Z38" s="8">
        <f t="shared" si="4"/>
        <v>141.12422506834471</v>
      </c>
    </row>
    <row r="39" spans="6:26" x14ac:dyDescent="0.25">
      <c r="U39" s="7">
        <f t="shared" si="0"/>
        <v>6283.1853071796095</v>
      </c>
      <c r="V39" s="9">
        <f t="shared" si="7"/>
        <v>1000.0000000000038</v>
      </c>
      <c r="W39" t="str">
        <f t="shared" si="1"/>
        <v>0,0301469898323141+0,000466408079907175i</v>
      </c>
      <c r="X39" s="8">
        <f t="shared" si="2"/>
        <v>0.88635989344733601</v>
      </c>
      <c r="Y39" t="str">
        <f t="shared" si="3"/>
        <v>-0,00353428000210504+0,00234625350944939i</v>
      </c>
      <c r="Z39" s="8">
        <f t="shared" si="4"/>
        <v>146.4215600190185</v>
      </c>
    </row>
    <row r="40" spans="6:26" x14ac:dyDescent="0.25">
      <c r="U40" s="7">
        <f t="shared" si="0"/>
        <v>7612.2527839368622</v>
      </c>
      <c r="V40" s="9">
        <f t="shared" si="7"/>
        <v>1211.5276586285931</v>
      </c>
      <c r="W40" t="str">
        <f t="shared" si="1"/>
        <v>0,0433281952753611+0,000806693333646101i</v>
      </c>
      <c r="X40" s="8">
        <f t="shared" si="2"/>
        <v>1.066621484024042</v>
      </c>
      <c r="Y40" t="str">
        <f t="shared" si="3"/>
        <v>-0,00266565225467853+0,00145827668947767i</v>
      </c>
      <c r="Z40" s="8">
        <f t="shared" si="4"/>
        <v>151.31861252263576</v>
      </c>
    </row>
    <row r="41" spans="6:26" x14ac:dyDescent="0.25">
      <c r="U41" s="7">
        <f t="shared" si="0"/>
        <v>9222.4547922119818</v>
      </c>
      <c r="V41" s="9">
        <f t="shared" si="7"/>
        <v>1467.7992676220754</v>
      </c>
      <c r="W41" t="str">
        <f t="shared" si="1"/>
        <v>0,0617105339409111+0,00137888353000298i</v>
      </c>
      <c r="X41" s="8">
        <f t="shared" si="2"/>
        <v>1.280025587621781</v>
      </c>
      <c r="Y41" t="str">
        <f t="shared" si="3"/>
        <v>-0,001958542247422+0,000883399060135697i</v>
      </c>
      <c r="Z41" s="8">
        <f t="shared" si="4"/>
        <v>155.72227929860929</v>
      </c>
    </row>
    <row r="42" spans="6:26" x14ac:dyDescent="0.25">
      <c r="U42" s="7">
        <f t="shared" si="0"/>
        <v>11173.259061216588</v>
      </c>
      <c r="V42" s="9">
        <f t="shared" si="7"/>
        <v>1778.2794100389301</v>
      </c>
      <c r="W42" t="str">
        <f t="shared" si="1"/>
        <v>0,0867987880807219+0,00231926365679684i</v>
      </c>
      <c r="X42" s="8">
        <f t="shared" si="2"/>
        <v>1.5305790672363944</v>
      </c>
      <c r="Y42" t="str">
        <f t="shared" si="3"/>
        <v>-0,00140952419329847+0,000524369077439195i</v>
      </c>
      <c r="Z42" s="8">
        <f t="shared" si="4"/>
        <v>159.59386779706313</v>
      </c>
    </row>
    <row r="43" spans="6:26" x14ac:dyDescent="0.25">
      <c r="U43" s="7">
        <f t="shared" si="0"/>
        <v>13536.712389686396</v>
      </c>
      <c r="V43" s="9">
        <f t="shared" si="7"/>
        <v>2154.4346900318928</v>
      </c>
      <c r="W43" t="str">
        <f t="shared" si="1"/>
        <v>0,120048335296728+0,00381854558816326i</v>
      </c>
      <c r="X43" s="8">
        <f t="shared" si="2"/>
        <v>1.8218728544688281</v>
      </c>
      <c r="Y43" t="str">
        <f t="shared" si="3"/>
        <v>-0,000998582510395506+0,000306473635189783i</v>
      </c>
      <c r="Z43" s="8">
        <f t="shared" si="4"/>
        <v>162.938295760328</v>
      </c>
    </row>
    <row r="44" spans="6:26" x14ac:dyDescent="0.25">
      <c r="U44" s="7">
        <f t="shared" si="0"/>
        <v>16400.101467005366</v>
      </c>
      <c r="V44" s="9">
        <f t="shared" si="7"/>
        <v>2610.1572156825482</v>
      </c>
      <c r="W44" t="str">
        <f t="shared" si="1"/>
        <v>0,162437996914693+0,00611831322708152i</v>
      </c>
      <c r="X44" s="8">
        <f t="shared" si="2"/>
        <v>2.1570562148642263</v>
      </c>
      <c r="Y44" t="str">
        <f t="shared" si="3"/>
        <v>-0,000699304014303289+0,000177088615524887i</v>
      </c>
      <c r="Z44" s="8">
        <f t="shared" si="4"/>
        <v>165.78941297347771</v>
      </c>
    </row>
    <row r="45" spans="6:26" x14ac:dyDescent="0.25">
      <c r="U45" s="7">
        <f t="shared" si="0"/>
        <v>19869.176531592293</v>
      </c>
      <c r="V45" s="9">
        <f t="shared" si="7"/>
        <v>3162.2776601683936</v>
      </c>
      <c r="W45" t="str">
        <f t="shared" si="1"/>
        <v>0,213882451954253+0,00948577388702695i</v>
      </c>
      <c r="X45" s="8">
        <f t="shared" si="2"/>
        <v>2.5394270553796843</v>
      </c>
      <c r="Y45" t="str">
        <f t="shared" si="3"/>
        <v>-0,000485654488237956+0,000101488236695639i</v>
      </c>
      <c r="Z45" s="8">
        <f t="shared" si="4"/>
        <v>168.19663949635591</v>
      </c>
    </row>
    <row r="46" spans="6:26" x14ac:dyDescent="0.25">
      <c r="U46" s="7">
        <f t="shared" si="0"/>
        <v>24072.05692219811</v>
      </c>
      <c r="V46" s="9">
        <f t="shared" si="7"/>
        <v>3831.1868495573053</v>
      </c>
      <c r="W46" t="str">
        <f t="shared" si="1"/>
        <v>0,272699721820267+0,0141674162144992i</v>
      </c>
      <c r="X46" s="8">
        <f t="shared" si="2"/>
        <v>2.9739818810135152</v>
      </c>
      <c r="Y46" t="str">
        <f t="shared" si="3"/>
        <v>-0,000335293475304717+0,0000578242380053064i</v>
      </c>
      <c r="Z46" s="8">
        <f t="shared" si="4"/>
        <v>170.21510073832394</v>
      </c>
    </row>
    <row r="47" spans="6:26" x14ac:dyDescent="0.25">
      <c r="U47" s="7">
        <f t="shared" si="0"/>
        <v>29163.962761324783</v>
      </c>
      <c r="V47" s="9">
        <f t="shared" si="7"/>
        <v>4641.588833612801</v>
      </c>
      <c r="W47" t="str">
        <f t="shared" si="1"/>
        <v>0,335505375665655+0,0203430689998322i</v>
      </c>
      <c r="X47" s="8">
        <f t="shared" si="2"/>
        <v>3.4698303413393101</v>
      </c>
      <c r="Y47" t="str">
        <f t="shared" si="3"/>
        <v>-0,000230530735721794+0,0000328119871232962i</v>
      </c>
      <c r="Z47" s="8">
        <f t="shared" si="4"/>
        <v>171.89936545254679</v>
      </c>
    </row>
    <row r="48" spans="6:26" x14ac:dyDescent="0.25">
      <c r="U48" s="7">
        <f t="shared" si="0"/>
        <v>35332.947520559166</v>
      </c>
      <c r="V48" s="9">
        <f t="shared" si="7"/>
        <v>5623.4132519035184</v>
      </c>
      <c r="W48" t="str">
        <f t="shared" si="1"/>
        <v>0,397810209154341+0,0281151768418455i</v>
      </c>
      <c r="X48" s="8">
        <f t="shared" si="2"/>
        <v>4.0426486405200697</v>
      </c>
      <c r="Y48" t="str">
        <f t="shared" si="3"/>
        <v>-0,00015804748890501+0,0000185663019479708i</v>
      </c>
      <c r="Z48" s="8">
        <f t="shared" si="4"/>
        <v>173.30000391084681</v>
      </c>
    </row>
    <row r="49" spans="21:26" x14ac:dyDescent="0.25">
      <c r="U49" s="7">
        <f t="shared" si="0"/>
        <v>42806.843182029843</v>
      </c>
      <c r="V49" s="9">
        <f t="shared" si="7"/>
        <v>6812.9206905796473</v>
      </c>
      <c r="W49" t="str">
        <f t="shared" si="1"/>
        <v>0,455164734204053+0,0375493377576549i</v>
      </c>
      <c r="X49" s="8">
        <f t="shared" si="2"/>
        <v>4.7160020829942466</v>
      </c>
      <c r="Y49" t="str">
        <f t="shared" si="3"/>
        <v>-0,000108140246035153+0,0000104850293858206i</v>
      </c>
      <c r="Z49" s="8">
        <f t="shared" si="4"/>
        <v>174.46204351771254</v>
      </c>
    </row>
    <row r="50" spans="21:26" x14ac:dyDescent="0.25">
      <c r="U50" s="7">
        <f t="shared" si="0"/>
        <v>51861.67449360578</v>
      </c>
      <c r="V50" s="9">
        <f t="shared" si="7"/>
        <v>8254.0418526802277</v>
      </c>
      <c r="W50" t="str">
        <f t="shared" si="1"/>
        <v>0,504259999917064+0,0487412961633829i</v>
      </c>
      <c r="X50" s="8">
        <f t="shared" si="2"/>
        <v>5.5210044589969858</v>
      </c>
      <c r="Y50" t="str">
        <f t="shared" si="3"/>
        <v>-0,0000738918878218425+5,91330961861772E-06i</v>
      </c>
      <c r="Z50" s="8">
        <f t="shared" si="4"/>
        <v>175.42456970793657</v>
      </c>
    </row>
    <row r="51" spans="21:26" x14ac:dyDescent="0.25">
      <c r="U51" s="7">
        <f t="shared" si="0"/>
        <v>62831.853071796206</v>
      </c>
      <c r="V51" s="9">
        <f>V50*10^(1/12)</f>
        <v>10000.000000000055</v>
      </c>
      <c r="W51" t="str">
        <f t="shared" si="1"/>
        <v>0,543426936129489+0,0618668757415731i</v>
      </c>
      <c r="X51" s="8">
        <f t="shared" si="2"/>
        <v>6.4949204048047697</v>
      </c>
      <c r="Y51" t="str">
        <f t="shared" si="3"/>
        <v>-0,000050443077706801+3,33189883811646E-06i</v>
      </c>
      <c r="Z51" s="8">
        <f t="shared" si="4"/>
        <v>176.22095162022245</v>
      </c>
    </row>
    <row r="52" spans="21:26" x14ac:dyDescent="0.25">
      <c r="U52" s="7">
        <f t="shared" si="0"/>
        <v>76122.527839368748</v>
      </c>
      <c r="V52" s="9">
        <f t="shared" si="7"/>
        <v>12115.276586285952</v>
      </c>
      <c r="W52" t="str">
        <f t="shared" si="1"/>
        <v>0,572437849219381+0,0771912986571674i</v>
      </c>
      <c r="X52" s="8">
        <f t="shared" si="2"/>
        <v>7.6798158336249607</v>
      </c>
      <c r="Y52" t="str">
        <f t="shared" si="3"/>
        <v>-0,0000344135616163155+1,87620162108268E-06i</v>
      </c>
      <c r="Z52" s="8">
        <f t="shared" si="4"/>
        <v>176.87936640991524</v>
      </c>
    </row>
    <row r="53" spans="21:26" x14ac:dyDescent="0.25">
      <c r="U53" s="7">
        <f t="shared" si="0"/>
        <v>92224.547922119978</v>
      </c>
      <c r="V53" s="9">
        <f t="shared" si="7"/>
        <v>14677.99267622078</v>
      </c>
      <c r="W53" t="str">
        <f t="shared" si="1"/>
        <v>0,591916682200809+0,0950414463530327i</v>
      </c>
      <c r="X53" s="8">
        <f t="shared" si="2"/>
        <v>9.1218706980907207</v>
      </c>
      <c r="Y53" t="str">
        <f t="shared" si="3"/>
        <v>-0,0000234675949599363+0,0000010560399744697i</v>
      </c>
      <c r="Z53" s="8">
        <f t="shared" si="4"/>
        <v>177.42343255242216</v>
      </c>
    </row>
    <row r="54" spans="21:26" x14ac:dyDescent="0.25">
      <c r="U54" s="7">
        <f t="shared" si="0"/>
        <v>111732.59061216608</v>
      </c>
      <c r="V54" s="9">
        <f t="shared" si="7"/>
        <v>17782.794100389332</v>
      </c>
      <c r="W54" t="str">
        <f t="shared" si="1"/>
        <v>0,602720827302894+0,115750911531568i</v>
      </c>
      <c r="X54" s="8">
        <f t="shared" si="2"/>
        <v>10.871139421021748</v>
      </c>
      <c r="Y54" t="str">
        <f t="shared" si="3"/>
        <v>-0,000015998471082664+5,94228758965094E-07i</v>
      </c>
      <c r="Z54" s="8">
        <f t="shared" si="4"/>
        <v>177.87284948427271</v>
      </c>
    </row>
    <row r="55" spans="21:26" x14ac:dyDescent="0.25">
      <c r="U55" s="7">
        <f t="shared" si="0"/>
        <v>135367.12389686418</v>
      </c>
      <c r="V55" s="9">
        <f t="shared" si="7"/>
        <v>21544.346900318964</v>
      </c>
      <c r="W55" t="str">
        <f t="shared" si="1"/>
        <v>0,60549222679763+0,13957734301417i</v>
      </c>
      <c r="X55" s="8">
        <f t="shared" si="2"/>
        <v>12.980993044122503</v>
      </c>
      <c r="Y55" t="str">
        <f t="shared" si="3"/>
        <v>-0,0000109043638157778+3,34302764607209E-07i</v>
      </c>
      <c r="Z55" s="8">
        <f t="shared" si="4"/>
        <v>178.24399293360565</v>
      </c>
    </row>
    <row r="56" spans="21:26" x14ac:dyDescent="0.25">
      <c r="U56" s="7">
        <f t="shared" si="0"/>
        <v>164001.01467005393</v>
      </c>
      <c r="V56" s="9">
        <f t="shared" si="7"/>
        <v>26101.572156825525</v>
      </c>
      <c r="W56" t="str">
        <f t="shared" si="1"/>
        <v>0,600415491634206+0,166580572973033i</v>
      </c>
      <c r="X56" s="8">
        <f t="shared" si="2"/>
        <v>15.506257623997916</v>
      </c>
      <c r="Y56" t="str">
        <f t="shared" si="3"/>
        <v>-7,43125473296633E-06+1,88047229636516E-07i</v>
      </c>
      <c r="Z56" s="8">
        <f t="shared" si="4"/>
        <v>178.55044482500102</v>
      </c>
    </row>
    <row r="57" spans="21:26" x14ac:dyDescent="0.25">
      <c r="U57" s="7">
        <f t="shared" si="0"/>
        <v>198691.76531592326</v>
      </c>
      <c r="V57" s="9">
        <f t="shared" si="7"/>
        <v>31622.776601683989</v>
      </c>
      <c r="W57" t="str">
        <f t="shared" si="1"/>
        <v>0,587158147090867+0,196448892241168i</v>
      </c>
      <c r="X57" s="8">
        <f t="shared" si="2"/>
        <v>18.498992933801858</v>
      </c>
      <c r="Y57" t="str">
        <f t="shared" si="3"/>
        <v>-5,06387570387159E-06+1,05767798689856E-07i</v>
      </c>
      <c r="Z57" s="8">
        <f t="shared" si="4"/>
        <v>178.80345256969062</v>
      </c>
    </row>
    <row r="58" spans="21:26" x14ac:dyDescent="0.25">
      <c r="U58" s="7">
        <f t="shared" si="0"/>
        <v>240720.56922198148</v>
      </c>
      <c r="V58" s="9">
        <f t="shared" si="7"/>
        <v>38311.868495573115</v>
      </c>
      <c r="W58" t="str">
        <f t="shared" si="1"/>
        <v>0,564980779913332+0,228277606418797i</v>
      </c>
      <c r="X58" s="8">
        <f t="shared" si="2"/>
        <v>22.000920120843528</v>
      </c>
      <c r="Y58" t="str">
        <f t="shared" si="3"/>
        <v>-0,0000034504523237512+5,94856792373894E-08i</v>
      </c>
      <c r="Z58" s="8">
        <f t="shared" si="4"/>
        <v>179.01232057806067</v>
      </c>
    </row>
    <row r="59" spans="21:26" x14ac:dyDescent="0.25">
      <c r="U59" s="7">
        <f t="shared" si="0"/>
        <v>291639.6276132483</v>
      </c>
      <c r="V59" s="9">
        <f t="shared" si="7"/>
        <v>46415.888336128082</v>
      </c>
      <c r="W59" t="str">
        <f t="shared" si="1"/>
        <v>0,533037740203613+0,26034848674002i</v>
      </c>
      <c r="X59" s="8">
        <f t="shared" si="2"/>
        <v>26.031998799978609</v>
      </c>
      <c r="Y59" t="str">
        <f t="shared" si="3"/>
        <v>-2,35098584951102E-06+3,34543501429165E-08i</v>
      </c>
      <c r="Z59" s="8">
        <f t="shared" si="4"/>
        <v>179.18474043217154</v>
      </c>
    </row>
    <row r="60" spans="21:26" x14ac:dyDescent="0.25">
      <c r="U60" s="7">
        <f t="shared" si="0"/>
        <v>353329.47520559217</v>
      </c>
      <c r="V60" s="9">
        <f t="shared" si="7"/>
        <v>56234.132519035273</v>
      </c>
      <c r="W60" t="str">
        <f t="shared" si="1"/>
        <v>0,490885073118795+0,290032011711728i</v>
      </c>
      <c r="X60" s="8">
        <f t="shared" si="2"/>
        <v>30.576074231949892</v>
      </c>
      <c r="Y60" t="str">
        <f t="shared" si="3"/>
        <v>-1,60181016624319E-06+1,88139493190111E-08i</v>
      </c>
      <c r="Z60" s="8">
        <f t="shared" si="4"/>
        <v>179.32706737119074</v>
      </c>
    </row>
    <row r="61" spans="21:26" x14ac:dyDescent="0.25">
      <c r="U61" s="7">
        <f t="shared" si="0"/>
        <v>428068.43182029901</v>
      </c>
      <c r="V61" s="9">
        <f t="shared" si="7"/>
        <v>68129.206905796571</v>
      </c>
      <c r="W61" t="str">
        <f t="shared" si="1"/>
        <v>0,439120220587208+0,313998322158419i</v>
      </c>
      <c r="X61" s="8">
        <f t="shared" si="2"/>
        <v>35.567130558245843</v>
      </c>
      <c r="Y61" t="str">
        <f t="shared" si="3"/>
        <v>-1,09134798241401E-06+1,05803155141367E-08i</v>
      </c>
      <c r="Z61" s="8">
        <f t="shared" si="4"/>
        <v>179.44455073568244</v>
      </c>
    </row>
    <row r="62" spans="21:26" x14ac:dyDescent="0.25">
      <c r="U62" s="7">
        <f t="shared" si="0"/>
        <v>518616.74493605847</v>
      </c>
      <c r="V62" s="9">
        <f t="shared" si="7"/>
        <v>82540.418526802387</v>
      </c>
      <c r="W62" t="str">
        <f t="shared" si="1"/>
        <v>0,379899497348511+0,328877527562262i</v>
      </c>
      <c r="X62" s="8">
        <f t="shared" si="2"/>
        <v>40.882612573545643</v>
      </c>
      <c r="Y62" t="str">
        <f t="shared" si="3"/>
        <v>-7,43548737011736E-07+5,94992271897173E-09i</v>
      </c>
      <c r="Z62" s="8">
        <f t="shared" si="4"/>
        <v>179.54152543453003</v>
      </c>
    </row>
    <row r="63" spans="21:26" x14ac:dyDescent="0.25">
      <c r="U63" s="7">
        <f t="shared" si="0"/>
        <v>628318.53071796289</v>
      </c>
      <c r="V63" s="9">
        <f t="shared" si="7"/>
        <v>100000.00000000067</v>
      </c>
      <c r="W63" t="str">
        <f t="shared" si="1"/>
        <v>0,316952526633722+0,332261481294237i</v>
      </c>
      <c r="X63" s="8">
        <f t="shared" si="2"/>
        <v>46.350827240551418</v>
      </c>
      <c r="Y63" t="str">
        <f t="shared" si="3"/>
        <v>-5,06584075056961E-07+3,34595412001359E-09i</v>
      </c>
      <c r="Z63" s="8">
        <f t="shared" si="4"/>
        <v>179.62157069032588</v>
      </c>
    </row>
    <row r="64" spans="21:26" x14ac:dyDescent="0.25">
      <c r="U64" s="7">
        <f t="shared" si="0"/>
        <v>761225.27839368838</v>
      </c>
      <c r="V64" s="9">
        <f t="shared" si="7"/>
        <v>121152.76586285967</v>
      </c>
      <c r="W64" t="str">
        <f t="shared" si="1"/>
        <v>0,254872143812861+0,323590709848437i</v>
      </c>
      <c r="X64" s="8">
        <f t="shared" si="2"/>
        <v>51.774709377446868</v>
      </c>
      <c r="Y64" t="str">
        <f t="shared" si="3"/>
        <v>-3,45136455383476E-07+1,88159382623646E-09i</v>
      </c>
      <c r="Z64" s="8">
        <f t="shared" si="4"/>
        <v>179.68764146680385</v>
      </c>
    </row>
    <row r="65" spans="21:26" x14ac:dyDescent="0.25">
      <c r="U65" s="7">
        <f t="shared" si="0"/>
        <v>922245.4792212008</v>
      </c>
      <c r="V65" s="9">
        <f t="shared" si="7"/>
        <v>146779.92676220796</v>
      </c>
      <c r="W65" t="str">
        <f t="shared" si="1"/>
        <v>0,197928951777039+0,30438069488413i</v>
      </c>
      <c r="X65" s="8">
        <f t="shared" si="2"/>
        <v>56.965348980775701</v>
      </c>
      <c r="Y65" t="str">
        <f t="shared" si="3"/>
        <v>-2,35140931228889E-07+1,05810775552656E-09i</v>
      </c>
      <c r="Z65" s="8">
        <f t="shared" si="4"/>
        <v>179.74217717370246</v>
      </c>
    </row>
    <row r="66" spans="21:26" x14ac:dyDescent="0.25">
      <c r="U66" s="7">
        <f t="shared" si="0"/>
        <v>1117325.9061216621</v>
      </c>
      <c r="V66" s="9">
        <f t="shared" si="7"/>
        <v>177827.94100389353</v>
      </c>
      <c r="W66" t="str">
        <f t="shared" si="1"/>
        <v>0,149038303296029+0,277633164496973i</v>
      </c>
      <c r="X66" s="8">
        <f t="shared" si="2"/>
        <v>61.772324293931284</v>
      </c>
      <c r="Y66" t="str">
        <f t="shared" si="3"/>
        <v>-1,60200673387883E-07+5,95021468154746E-10i</v>
      </c>
      <c r="Z66" s="8">
        <f t="shared" si="4"/>
        <v>179.78719151828446</v>
      </c>
    </row>
    <row r="67" spans="21:26" x14ac:dyDescent="0.25">
      <c r="U67" s="7">
        <f t="shared" si="0"/>
        <v>1353671.2389686434</v>
      </c>
      <c r="V67" s="9">
        <f t="shared" si="7"/>
        <v>215443.46900318991</v>
      </c>
      <c r="W67" t="str">
        <f t="shared" si="1"/>
        <v>0,109376466086985+0,24682237945448i</v>
      </c>
      <c r="X67" s="8">
        <f t="shared" si="2"/>
        <v>66.100030504842067</v>
      </c>
      <c r="Y67" t="str">
        <f t="shared" si="3"/>
        <v>-1,0914392253375E-07+3,34606597904131E-10i</v>
      </c>
      <c r="Z67" s="8">
        <f t="shared" si="4"/>
        <v>179.82434674006956</v>
      </c>
    </row>
    <row r="68" spans="21:26" x14ac:dyDescent="0.25">
      <c r="U68" s="7">
        <f t="shared" ref="U68:U75" si="9">2*PI()*V68</f>
        <v>1640010.1467005413</v>
      </c>
      <c r="V68" s="9">
        <f t="shared" si="7"/>
        <v>261015.72156825557</v>
      </c>
      <c r="W68" t="str">
        <f t="shared" ref="W68:W75" si="10">IMDIV(COMPLEX(0,1/(0.00000005*U68)),IMPRODUCT(IMSUM(IMDIV(IMPRODUCT(COMPLEX(0,1/(0.0000001*U68)),IMSUM(50,COMPLEX(0,1/(0.00000005*U68)),COMPLEX(0,U68*0.008))),IMPRODUCT(COMPLEX(0,U68*0.008),IMSUM(50,COMPLEX(0,1/(0.00000005*U68))))),1),IMSUM(COMPLEX(0,1/(0.00000005*U68)),50)))</f>
        <v>0,0786521240816851+0,215017096659417i</v>
      </c>
      <c r="X68" s="8">
        <f t="shared" ref="X68:X75" si="11">DEGREES(ATAN2(IMREAL(W68),IMAGINARY(W68)))</f>
        <v>69.907745881059014</v>
      </c>
      <c r="Y68" t="str">
        <f t="shared" ref="Y68:Y75" si="12">IMDIV(COMPLEX(0,1/(0.000002*U68)),IMPRODUCT(IMSUM(IMDIV(IMPRODUCT(250,IMSUM(COMPLEX(0,1/(0.000001*U68)),10000,COMPLEX(0,1/(0.000002*U68)))),IMPRODUCT(COMPLEX(0,1/(0.000001*U68)),IMSUM(10000,COMPLEX(0,1/(0.000002*U68))))),1),IMSUM(COMPLEX(0,1/(0.000002*U68)),10000)))</f>
        <v>-7,43591089588017E-08+1,88163668222732E-10i</v>
      </c>
      <c r="Z68" s="8">
        <f t="shared" ref="Z68:Z75" si="13">DEGREES(ATAN2(IMREAL(Y68),ABS(IMAGINARY(Y68))))</f>
        <v>179.85501492437643</v>
      </c>
    </row>
    <row r="69" spans="21:26" x14ac:dyDescent="0.25">
      <c r="U69" s="7">
        <f t="shared" si="9"/>
        <v>1986917.6531592347</v>
      </c>
      <c r="V69" s="9">
        <f t="shared" ref="V69:V75" si="14">V68*10^(1/12)</f>
        <v>316227.76601684024</v>
      </c>
      <c r="W69" t="str">
        <f t="shared" si="10"/>
        <v>0,0556898239537012+0,184437950479413i</v>
      </c>
      <c r="X69" s="8">
        <f t="shared" si="11"/>
        <v>73.198655193137711</v>
      </c>
      <c r="Y69" t="str">
        <f t="shared" si="12"/>
        <v>-5,06603733812451E-08+1,05812417464202E-10i</v>
      </c>
      <c r="Z69" s="8">
        <f t="shared" si="13"/>
        <v>179.88032863320777</v>
      </c>
    </row>
    <row r="70" spans="21:26" x14ac:dyDescent="0.25">
      <c r="U70" s="7">
        <f t="shared" si="9"/>
        <v>2407205.6922198175</v>
      </c>
      <c r="V70" s="9">
        <f t="shared" si="14"/>
        <v>383118.68495573162</v>
      </c>
      <c r="W70" t="str">
        <f t="shared" si="10"/>
        <v>0,0389840894856993+0,156415781595606i</v>
      </c>
      <c r="X70" s="8">
        <f t="shared" si="11"/>
        <v>76.005085144433309</v>
      </c>
      <c r="Y70" t="str">
        <f t="shared" si="12"/>
        <v>-3,45145580305761E-08+5,95027758672866E-11i</v>
      </c>
      <c r="Z70" s="8">
        <f t="shared" si="13"/>
        <v>179.90122270880906</v>
      </c>
    </row>
    <row r="71" spans="21:26" x14ac:dyDescent="0.25">
      <c r="U71" s="7">
        <f t="shared" si="9"/>
        <v>2916396.2761324863</v>
      </c>
      <c r="V71" s="9">
        <f t="shared" si="14"/>
        <v>464158.88336128136</v>
      </c>
      <c r="W71" t="str">
        <f t="shared" si="10"/>
        <v>0,0270664404022408+0,131567221018751i</v>
      </c>
      <c r="X71" s="8">
        <f t="shared" si="11"/>
        <v>78.375109800372954</v>
      </c>
      <c r="Y71" t="str">
        <f t="shared" si="12"/>
        <v>-2,35145166685727E-08+3,34609007931741E-11i</v>
      </c>
      <c r="Z71" s="8">
        <f t="shared" si="13"/>
        <v>179.91846878559511</v>
      </c>
    </row>
    <row r="72" spans="21:26" x14ac:dyDescent="0.25">
      <c r="U72" s="7">
        <f t="shared" si="9"/>
        <v>3533294.7520559258</v>
      </c>
      <c r="V72" s="9">
        <f t="shared" si="14"/>
        <v>562341.32519035332</v>
      </c>
      <c r="W72" t="str">
        <f t="shared" si="10"/>
        <v>0,0186830584324574+0,110024925632681i</v>
      </c>
      <c r="X72" s="8">
        <f t="shared" si="11"/>
        <v>80.362674222776533</v>
      </c>
      <c r="Y72" t="str">
        <f t="shared" si="12"/>
        <v>-1,6020263932643E-08+1,88164591552622E-11i</v>
      </c>
      <c r="Z72" s="8">
        <f t="shared" si="13"/>
        <v>179.932703780428</v>
      </c>
    </row>
    <row r="73" spans="21:26" x14ac:dyDescent="0.25">
      <c r="U73" s="7">
        <f t="shared" si="9"/>
        <v>4280684.3182029948</v>
      </c>
      <c r="V73" s="9">
        <f t="shared" si="14"/>
        <v>681292.06905796647</v>
      </c>
      <c r="W73" t="str">
        <f t="shared" si="10"/>
        <v>0,012843880669635+0,0916364144807144i</v>
      </c>
      <c r="X73" s="8">
        <f t="shared" si="11"/>
        <v>82.021324619136692</v>
      </c>
      <c r="Y73" t="str">
        <f t="shared" si="12"/>
        <v>-1,091448350459E-08+1,05812771209992E-11i</v>
      </c>
      <c r="Z73" s="8">
        <f t="shared" si="13"/>
        <v>179.9444534108554</v>
      </c>
    </row>
    <row r="74" spans="21:26" x14ac:dyDescent="0.25">
      <c r="U74" s="7">
        <f t="shared" si="9"/>
        <v>5186167.4493605904</v>
      </c>
      <c r="V74" s="9">
        <f t="shared" si="14"/>
        <v>825404.1852680248</v>
      </c>
      <c r="W74" t="str">
        <f t="shared" si="10"/>
        <v>0,00880475113062699+0,0761060351368346i</v>
      </c>
      <c r="X74" s="8">
        <f t="shared" si="11"/>
        <v>83.400755954764989</v>
      </c>
      <c r="Y74" t="str">
        <f t="shared" si="12"/>
        <v>-7,43595325107857E-09+5,9502911394133E-12i</v>
      </c>
      <c r="Z74" s="8">
        <f t="shared" si="13"/>
        <v>179.9541516084243</v>
      </c>
    </row>
    <row r="75" spans="21:26" ht="15.75" thickBot="1" x14ac:dyDescent="0.3">
      <c r="U75" s="10">
        <f t="shared" si="9"/>
        <v>6283185.3071796354</v>
      </c>
      <c r="V75" s="11">
        <f t="shared" si="14"/>
        <v>1000000.0000000078</v>
      </c>
      <c r="W75" t="str">
        <f t="shared" si="10"/>
        <v>0,0060240824934831+0,0630847101470607i</v>
      </c>
      <c r="X75" s="12">
        <f t="shared" si="11"/>
        <v>84.54525379227421</v>
      </c>
      <c r="Y75" t="str">
        <f t="shared" si="12"/>
        <v>-5,06605699770921E-09+3,34609527160993E-12i</v>
      </c>
      <c r="Z75" s="8">
        <f t="shared" si="13"/>
        <v>179.96215654322097</v>
      </c>
    </row>
    <row r="76" spans="21:26" ht="15.75" thickTop="1" x14ac:dyDescent="0.25"/>
  </sheetData>
  <mergeCells count="43">
    <mergeCell ref="AC1:AE1"/>
    <mergeCell ref="Q36:R36"/>
    <mergeCell ref="F34:H34"/>
    <mergeCell ref="G35:H35"/>
    <mergeCell ref="G36:H36"/>
    <mergeCell ref="G24:H24"/>
    <mergeCell ref="F26:H26"/>
    <mergeCell ref="G28:H28"/>
    <mergeCell ref="F30:H30"/>
    <mergeCell ref="G32:H32"/>
    <mergeCell ref="Q32:R32"/>
    <mergeCell ref="P34:R34"/>
    <mergeCell ref="Q35:R35"/>
    <mergeCell ref="Q24:R24"/>
    <mergeCell ref="P26:R26"/>
    <mergeCell ref="Q28:R28"/>
    <mergeCell ref="P30:R30"/>
    <mergeCell ref="G16:H16"/>
    <mergeCell ref="Q16:R16"/>
    <mergeCell ref="F18:H18"/>
    <mergeCell ref="P18:R18"/>
    <mergeCell ref="F22:H22"/>
    <mergeCell ref="P22:R22"/>
    <mergeCell ref="F10:H10"/>
    <mergeCell ref="G12:H12"/>
    <mergeCell ref="F14:H14"/>
    <mergeCell ref="G4:H4"/>
    <mergeCell ref="Q4:R4"/>
    <mergeCell ref="F6:H6"/>
    <mergeCell ref="P6:R6"/>
    <mergeCell ref="P14:R14"/>
    <mergeCell ref="Q12:R12"/>
    <mergeCell ref="P10:R10"/>
    <mergeCell ref="A7:C7"/>
    <mergeCell ref="G8:H8"/>
    <mergeCell ref="Q8:R8"/>
    <mergeCell ref="U1:Z1"/>
    <mergeCell ref="A1:C1"/>
    <mergeCell ref="F1:H1"/>
    <mergeCell ref="K1:M1"/>
    <mergeCell ref="P1:R1"/>
    <mergeCell ref="F2:H2"/>
    <mergeCell ref="P2:R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Timur Shakirov</dc:creator>
  <cp:lastModifiedBy>Timur Shakirov</cp:lastModifiedBy>
  <dcterms:created xsi:type="dcterms:W3CDTF">2023-11-27T10:58:48Z</dcterms:created>
  <dcterms:modified xsi:type="dcterms:W3CDTF">2023-12-18T12:14:39Z</dcterms:modified>
</cp:coreProperties>
</file>